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PG\NCP106x\2022-5-10 web tools update\"/>
    </mc:Choice>
  </mc:AlternateContent>
  <xr:revisionPtr revIDLastSave="0" documentId="13_ncr:1_{733289A0-F4E8-4662-BFC8-6795B9BEB480}" xr6:coauthVersionLast="46" xr6:coauthVersionMax="46" xr10:uidLastSave="{00000000-0000-0000-0000-000000000000}"/>
  <bookViews>
    <workbookView xWindow="2010" yWindow="3870" windowWidth="21600" windowHeight="12735" xr2:uid="{00000000-000D-0000-FFFF-FFFF00000000}"/>
  </bookViews>
  <sheets>
    <sheet name="FB analysis" sheetId="7" r:id="rId1"/>
    <sheet name="Sheet1" sheetId="8" r:id="rId2"/>
  </sheets>
  <definedNames>
    <definedName name="fmax">'FB analysis'!$B$26</definedName>
    <definedName name="fmin">'FB analysis'!$B$25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2" i="7" l="1"/>
  <c r="J4" i="8"/>
  <c r="I4" i="8" l="1"/>
  <c r="I6" i="8" s="1"/>
  <c r="H4" i="8"/>
  <c r="H6" i="8" s="1"/>
  <c r="J6" i="8" l="1"/>
  <c r="B75" i="8"/>
  <c r="C75" i="8" s="1"/>
  <c r="B18" i="7" l="1"/>
  <c r="D10" i="8" s="1"/>
  <c r="B24" i="8"/>
  <c r="H19" i="8"/>
  <c r="C19" i="8"/>
  <c r="D19" i="8" s="1"/>
  <c r="B19" i="8"/>
  <c r="B10" i="8" l="1"/>
  <c r="B12" i="8" s="1"/>
  <c r="C10" i="8"/>
  <c r="C12" i="8" s="1"/>
  <c r="D12" i="8"/>
  <c r="J19" i="8"/>
  <c r="J21" i="8" s="1"/>
  <c r="E19" i="8"/>
  <c r="E21" i="8" s="1"/>
  <c r="A25" i="8"/>
  <c r="B25" i="8" s="1"/>
  <c r="C24" i="8"/>
  <c r="V24" i="8" s="1"/>
  <c r="W24" i="8" s="1"/>
  <c r="L21" i="8"/>
  <c r="H21" i="8"/>
  <c r="F19" i="8" l="1"/>
  <c r="D75" i="8"/>
  <c r="X24" i="8"/>
  <c r="J75" i="8"/>
  <c r="K75" i="8" s="1"/>
  <c r="I19" i="8"/>
  <c r="I21" i="8" s="1"/>
  <c r="B21" i="8"/>
  <c r="K19" i="8"/>
  <c r="K21" i="8" s="1"/>
  <c r="F24" i="8" s="1"/>
  <c r="D21" i="8"/>
  <c r="D24" i="8"/>
  <c r="A26" i="8"/>
  <c r="B26" i="8" s="1"/>
  <c r="C25" i="8"/>
  <c r="V25" i="8" s="1"/>
  <c r="C21" i="8"/>
  <c r="X25" i="8" l="1"/>
  <c r="W25" i="8"/>
  <c r="L75" i="8"/>
  <c r="F75" i="8"/>
  <c r="E24" i="8"/>
  <c r="E75" i="8"/>
  <c r="F25" i="8"/>
  <c r="G19" i="8"/>
  <c r="G21" i="8" s="1"/>
  <c r="F21" i="8"/>
  <c r="D25" i="8"/>
  <c r="E25" i="8"/>
  <c r="A27" i="8"/>
  <c r="B27" i="8" s="1"/>
  <c r="C26" i="8"/>
  <c r="V26" i="8" s="1"/>
  <c r="J24" i="8"/>
  <c r="W26" i="8" l="1"/>
  <c r="X26" i="8"/>
  <c r="G24" i="8"/>
  <c r="I24" i="8" s="1"/>
  <c r="G75" i="8"/>
  <c r="K24" i="8"/>
  <c r="L24" i="8"/>
  <c r="J26" i="8"/>
  <c r="E26" i="8"/>
  <c r="D26" i="8"/>
  <c r="F26" i="8"/>
  <c r="J25" i="8"/>
  <c r="A28" i="8"/>
  <c r="B28" i="8" s="1"/>
  <c r="C27" i="8"/>
  <c r="V27" i="8" s="1"/>
  <c r="G25" i="8"/>
  <c r="Y25" i="8" l="1"/>
  <c r="Z25" i="8" s="1"/>
  <c r="X27" i="8"/>
  <c r="W27" i="8"/>
  <c r="Y24" i="8"/>
  <c r="H24" i="8"/>
  <c r="M24" i="8"/>
  <c r="N24" i="8" s="1"/>
  <c r="H75" i="8"/>
  <c r="M75" i="8"/>
  <c r="I75" i="8"/>
  <c r="L25" i="8"/>
  <c r="K25" i="8"/>
  <c r="E27" i="8"/>
  <c r="D27" i="8"/>
  <c r="J27" i="8"/>
  <c r="F27" i="8"/>
  <c r="G26" i="8"/>
  <c r="Y26" i="8" s="1"/>
  <c r="I25" i="8"/>
  <c r="M25" i="8"/>
  <c r="H25" i="8"/>
  <c r="A29" i="8"/>
  <c r="B29" i="8" s="1"/>
  <c r="C28" i="8"/>
  <c r="V28" i="8" s="1"/>
  <c r="K26" i="8"/>
  <c r="L26" i="8"/>
  <c r="AA25" i="8" l="1"/>
  <c r="Z26" i="8"/>
  <c r="AA26" i="8"/>
  <c r="W28" i="8"/>
  <c r="X28" i="8"/>
  <c r="O24" i="8"/>
  <c r="AA24" i="8"/>
  <c r="Z24" i="8"/>
  <c r="O75" i="8"/>
  <c r="B30" i="7" s="1"/>
  <c r="C2" i="8" s="1"/>
  <c r="D2" i="8" s="1"/>
  <c r="N75" i="8"/>
  <c r="B31" i="7" s="1"/>
  <c r="B2" i="8" s="1"/>
  <c r="L27" i="8"/>
  <c r="K27" i="8"/>
  <c r="D28" i="8"/>
  <c r="J28" i="8"/>
  <c r="E28" i="8"/>
  <c r="F28" i="8"/>
  <c r="G27" i="8"/>
  <c r="Y27" i="8" s="1"/>
  <c r="M26" i="8"/>
  <c r="I26" i="8"/>
  <c r="H26" i="8"/>
  <c r="N25" i="8"/>
  <c r="O25" i="8"/>
  <c r="A30" i="8"/>
  <c r="B30" i="8" s="1"/>
  <c r="C29" i="8"/>
  <c r="V29" i="8" s="1"/>
  <c r="Z27" i="8" l="1"/>
  <c r="AA27" i="8"/>
  <c r="X29" i="8"/>
  <c r="W29" i="8"/>
  <c r="F2" i="8"/>
  <c r="E2" i="8"/>
  <c r="G28" i="8"/>
  <c r="I28" i="8" s="1"/>
  <c r="N26" i="8"/>
  <c r="O26" i="8"/>
  <c r="M27" i="8"/>
  <c r="I27" i="8"/>
  <c r="H27" i="8"/>
  <c r="J29" i="8"/>
  <c r="D29" i="8"/>
  <c r="E29" i="8"/>
  <c r="F29" i="8"/>
  <c r="A31" i="8"/>
  <c r="B31" i="8" s="1"/>
  <c r="C30" i="8"/>
  <c r="V30" i="8" s="1"/>
  <c r="L28" i="8"/>
  <c r="K28" i="8"/>
  <c r="B35" i="7" l="1"/>
  <c r="B33" i="7"/>
  <c r="X30" i="8"/>
  <c r="W30" i="8"/>
  <c r="Y28" i="8"/>
  <c r="H28" i="8"/>
  <c r="M28" i="8"/>
  <c r="N28" i="8" s="1"/>
  <c r="C31" i="8"/>
  <c r="V31" i="8" s="1"/>
  <c r="A32" i="8"/>
  <c r="B32" i="8" s="1"/>
  <c r="N27" i="8"/>
  <c r="O27" i="8"/>
  <c r="J30" i="8"/>
  <c r="E30" i="8"/>
  <c r="D30" i="8"/>
  <c r="F30" i="8"/>
  <c r="G29" i="8"/>
  <c r="Y29" i="8" s="1"/>
  <c r="K29" i="8"/>
  <c r="L29" i="8"/>
  <c r="AA29" i="8" l="1"/>
  <c r="Z29" i="8"/>
  <c r="Z28" i="8"/>
  <c r="AA28" i="8"/>
  <c r="W31" i="8"/>
  <c r="X31" i="8"/>
  <c r="B34" i="7"/>
  <c r="C4" i="8" s="1"/>
  <c r="C6" i="8" s="1"/>
  <c r="O28" i="8"/>
  <c r="I29" i="8"/>
  <c r="H29" i="8"/>
  <c r="M29" i="8"/>
  <c r="A33" i="8"/>
  <c r="B33" i="8" s="1"/>
  <c r="C32" i="8"/>
  <c r="V32" i="8" s="1"/>
  <c r="L30" i="8"/>
  <c r="K30" i="8"/>
  <c r="G30" i="8"/>
  <c r="Y30" i="8" s="1"/>
  <c r="E31" i="8"/>
  <c r="D31" i="8"/>
  <c r="J31" i="8"/>
  <c r="F31" i="8"/>
  <c r="D4" i="8" l="1"/>
  <c r="D6" i="8" s="1"/>
  <c r="Z30" i="8"/>
  <c r="AA30" i="8"/>
  <c r="X32" i="8"/>
  <c r="W32" i="8"/>
  <c r="B4" i="8"/>
  <c r="B6" i="8" s="1"/>
  <c r="L31" i="8"/>
  <c r="K31" i="8"/>
  <c r="G31" i="8"/>
  <c r="Y31" i="8" s="1"/>
  <c r="D32" i="8"/>
  <c r="E32" i="8"/>
  <c r="J32" i="8"/>
  <c r="F32" i="8"/>
  <c r="A34" i="8"/>
  <c r="B34" i="8" s="1"/>
  <c r="C33" i="8"/>
  <c r="V33" i="8" s="1"/>
  <c r="M30" i="8"/>
  <c r="I30" i="8"/>
  <c r="H30" i="8"/>
  <c r="O29" i="8"/>
  <c r="N29" i="8"/>
  <c r="Z31" i="8" l="1"/>
  <c r="AA31" i="8"/>
  <c r="W33" i="8"/>
  <c r="X33" i="8"/>
  <c r="P75" i="8"/>
  <c r="Q75" i="8" s="1"/>
  <c r="P32" i="8"/>
  <c r="Q32" i="8" s="1"/>
  <c r="P30" i="8"/>
  <c r="Q30" i="8" s="1"/>
  <c r="P29" i="8"/>
  <c r="R29" i="8" s="1"/>
  <c r="P26" i="8"/>
  <c r="R26" i="8" s="1"/>
  <c r="P27" i="8"/>
  <c r="S27" i="8" s="1"/>
  <c r="P25" i="8"/>
  <c r="S25" i="8" s="1"/>
  <c r="P28" i="8"/>
  <c r="R28" i="8" s="1"/>
  <c r="P31" i="8"/>
  <c r="S31" i="8" s="1"/>
  <c r="P24" i="8"/>
  <c r="A35" i="8"/>
  <c r="B35" i="8" s="1"/>
  <c r="C34" i="8"/>
  <c r="V34" i="8" s="1"/>
  <c r="N30" i="8"/>
  <c r="O30" i="8"/>
  <c r="J33" i="8"/>
  <c r="E33" i="8"/>
  <c r="D33" i="8"/>
  <c r="F33" i="8"/>
  <c r="P33" i="8"/>
  <c r="G32" i="8"/>
  <c r="S32" i="8" s="1"/>
  <c r="M31" i="8"/>
  <c r="I31" i="8"/>
  <c r="H31" i="8"/>
  <c r="L32" i="8"/>
  <c r="K32" i="8"/>
  <c r="R32" i="8" l="1"/>
  <c r="R27" i="8"/>
  <c r="S75" i="8"/>
  <c r="T75" i="8" s="1"/>
  <c r="R75" i="8"/>
  <c r="Q27" i="8"/>
  <c r="W34" i="8"/>
  <c r="X34" i="8"/>
  <c r="S30" i="8"/>
  <c r="U30" i="8" s="1"/>
  <c r="Y32" i="8"/>
  <c r="S29" i="8"/>
  <c r="U29" i="8" s="1"/>
  <c r="Q29" i="8"/>
  <c r="R30" i="8"/>
  <c r="Q25" i="8"/>
  <c r="R25" i="8"/>
  <c r="S26" i="8"/>
  <c r="U26" i="8" s="1"/>
  <c r="Q26" i="8"/>
  <c r="S28" i="8"/>
  <c r="T28" i="8" s="1"/>
  <c r="Q28" i="8"/>
  <c r="Q31" i="8"/>
  <c r="R31" i="8"/>
  <c r="R24" i="8"/>
  <c r="S24" i="8"/>
  <c r="Q24" i="8"/>
  <c r="T25" i="8"/>
  <c r="U25" i="8"/>
  <c r="T29" i="8"/>
  <c r="U27" i="8"/>
  <c r="T27" i="8"/>
  <c r="T32" i="8"/>
  <c r="U32" i="8"/>
  <c r="H32" i="8"/>
  <c r="M32" i="8"/>
  <c r="I32" i="8"/>
  <c r="U31" i="8"/>
  <c r="T31" i="8"/>
  <c r="G33" i="8"/>
  <c r="Y33" i="8" s="1"/>
  <c r="R33" i="8"/>
  <c r="Q33" i="8"/>
  <c r="J34" i="8"/>
  <c r="E34" i="8"/>
  <c r="D34" i="8"/>
  <c r="F34" i="8"/>
  <c r="P34" i="8"/>
  <c r="O31" i="8"/>
  <c r="N31" i="8"/>
  <c r="K33" i="8"/>
  <c r="L33" i="8"/>
  <c r="A36" i="8"/>
  <c r="B36" i="8" s="1"/>
  <c r="C35" i="8"/>
  <c r="V35" i="8" s="1"/>
  <c r="U75" i="8" l="1"/>
  <c r="T30" i="8"/>
  <c r="Z33" i="8"/>
  <c r="AA33" i="8"/>
  <c r="W35" i="8"/>
  <c r="X35" i="8"/>
  <c r="Z32" i="8"/>
  <c r="AA32" i="8"/>
  <c r="T26" i="8"/>
  <c r="U28" i="8"/>
  <c r="T24" i="8"/>
  <c r="U24" i="8"/>
  <c r="G34" i="8"/>
  <c r="M34" i="8" s="1"/>
  <c r="C36" i="8"/>
  <c r="V36" i="8" s="1"/>
  <c r="A37" i="8"/>
  <c r="B37" i="8" s="1"/>
  <c r="H33" i="8"/>
  <c r="M33" i="8"/>
  <c r="I33" i="8"/>
  <c r="O32" i="8"/>
  <c r="N32" i="8"/>
  <c r="R34" i="8"/>
  <c r="Q34" i="8"/>
  <c r="K34" i="8"/>
  <c r="L34" i="8"/>
  <c r="E35" i="8"/>
  <c r="D35" i="8"/>
  <c r="J35" i="8"/>
  <c r="F35" i="8"/>
  <c r="P35" i="8"/>
  <c r="S33" i="8"/>
  <c r="Y34" i="8" l="1"/>
  <c r="X36" i="8"/>
  <c r="W36" i="8"/>
  <c r="I34" i="8"/>
  <c r="S34" i="8"/>
  <c r="T34" i="8" s="1"/>
  <c r="H34" i="8"/>
  <c r="Q35" i="8"/>
  <c r="R35" i="8"/>
  <c r="O33" i="8"/>
  <c r="N33" i="8"/>
  <c r="L35" i="8"/>
  <c r="K35" i="8"/>
  <c r="A38" i="8"/>
  <c r="B38" i="8" s="1"/>
  <c r="C37" i="8"/>
  <c r="V37" i="8" s="1"/>
  <c r="U33" i="8"/>
  <c r="T33" i="8"/>
  <c r="G35" i="8"/>
  <c r="Y35" i="8" s="1"/>
  <c r="N34" i="8"/>
  <c r="O34" i="8"/>
  <c r="D36" i="8"/>
  <c r="E36" i="8"/>
  <c r="J36" i="8"/>
  <c r="F36" i="8"/>
  <c r="P36" i="8"/>
  <c r="AA35" i="8" l="1"/>
  <c r="Z35" i="8"/>
  <c r="W37" i="8"/>
  <c r="X37" i="8"/>
  <c r="Z34" i="8"/>
  <c r="AA34" i="8"/>
  <c r="U34" i="8"/>
  <c r="L36" i="8"/>
  <c r="K36" i="8"/>
  <c r="J37" i="8"/>
  <c r="D37" i="8"/>
  <c r="E37" i="8"/>
  <c r="F37" i="8"/>
  <c r="P37" i="8"/>
  <c r="M35" i="8"/>
  <c r="I35" i="8"/>
  <c r="H35" i="8"/>
  <c r="A39" i="8"/>
  <c r="B39" i="8" s="1"/>
  <c r="C38" i="8"/>
  <c r="V38" i="8" s="1"/>
  <c r="S35" i="8"/>
  <c r="Q36" i="8"/>
  <c r="R36" i="8"/>
  <c r="G36" i="8"/>
  <c r="S36" i="8" s="1"/>
  <c r="X38" i="8" l="1"/>
  <c r="W38" i="8"/>
  <c r="Y36" i="8"/>
  <c r="G37" i="8"/>
  <c r="I37" i="8" s="1"/>
  <c r="T36" i="8"/>
  <c r="U36" i="8"/>
  <c r="A40" i="8"/>
  <c r="B40" i="8" s="1"/>
  <c r="C39" i="8"/>
  <c r="V39" i="8" s="1"/>
  <c r="R37" i="8"/>
  <c r="Q37" i="8"/>
  <c r="K37" i="8"/>
  <c r="L37" i="8"/>
  <c r="U35" i="8"/>
  <c r="T35" i="8"/>
  <c r="H36" i="8"/>
  <c r="I36" i="8"/>
  <c r="M36" i="8"/>
  <c r="J38" i="8"/>
  <c r="E38" i="8"/>
  <c r="D38" i="8"/>
  <c r="F38" i="8"/>
  <c r="P38" i="8"/>
  <c r="N35" i="8"/>
  <c r="O35" i="8"/>
  <c r="W39" i="8" l="1"/>
  <c r="X39" i="8"/>
  <c r="Z36" i="8"/>
  <c r="AA36" i="8"/>
  <c r="Y37" i="8"/>
  <c r="S37" i="8"/>
  <c r="T37" i="8" s="1"/>
  <c r="M37" i="8"/>
  <c r="N37" i="8" s="1"/>
  <c r="H37" i="8"/>
  <c r="G38" i="8"/>
  <c r="M38" i="8" s="1"/>
  <c r="E39" i="8"/>
  <c r="D39" i="8"/>
  <c r="J39" i="8"/>
  <c r="F39" i="8"/>
  <c r="P39" i="8"/>
  <c r="L38" i="8"/>
  <c r="K38" i="8"/>
  <c r="A41" i="8"/>
  <c r="B41" i="8" s="1"/>
  <c r="C40" i="8"/>
  <c r="V40" i="8" s="1"/>
  <c r="R38" i="8"/>
  <c r="Q38" i="8"/>
  <c r="O36" i="8"/>
  <c r="N36" i="8"/>
  <c r="X40" i="8" l="1"/>
  <c r="W40" i="8"/>
  <c r="AA37" i="8"/>
  <c r="Z37" i="8"/>
  <c r="Y38" i="8"/>
  <c r="O37" i="8"/>
  <c r="U37" i="8"/>
  <c r="I38" i="8"/>
  <c r="H38" i="8"/>
  <c r="S38" i="8"/>
  <c r="T38" i="8" s="1"/>
  <c r="L39" i="8"/>
  <c r="K39" i="8"/>
  <c r="N38" i="8"/>
  <c r="O38" i="8"/>
  <c r="D40" i="8"/>
  <c r="J40" i="8"/>
  <c r="E40" i="8"/>
  <c r="F40" i="8"/>
  <c r="P40" i="8"/>
  <c r="A42" i="8"/>
  <c r="B42" i="8" s="1"/>
  <c r="C41" i="8"/>
  <c r="V41" i="8" s="1"/>
  <c r="G39" i="8"/>
  <c r="S39" i="8" s="1"/>
  <c r="Q39" i="8"/>
  <c r="R39" i="8"/>
  <c r="X41" i="8" l="1"/>
  <c r="W41" i="8"/>
  <c r="Z38" i="8"/>
  <c r="AA38" i="8"/>
  <c r="Y39" i="8"/>
  <c r="U38" i="8"/>
  <c r="U39" i="8"/>
  <c r="T39" i="8"/>
  <c r="J41" i="8"/>
  <c r="E41" i="8"/>
  <c r="D41" i="8"/>
  <c r="F41" i="8"/>
  <c r="P41" i="8"/>
  <c r="L40" i="8"/>
  <c r="K40" i="8"/>
  <c r="Q40" i="8"/>
  <c r="R40" i="8"/>
  <c r="G40" i="8"/>
  <c r="S40" i="8" s="1"/>
  <c r="M39" i="8"/>
  <c r="I39" i="8"/>
  <c r="H39" i="8"/>
  <c r="A43" i="8"/>
  <c r="B43" i="8" s="1"/>
  <c r="C42" i="8"/>
  <c r="V42" i="8" s="1"/>
  <c r="X42" i="8" l="1"/>
  <c r="W42" i="8"/>
  <c r="Z39" i="8"/>
  <c r="AA39" i="8"/>
  <c r="Y40" i="8"/>
  <c r="T40" i="8"/>
  <c r="U40" i="8"/>
  <c r="C43" i="8"/>
  <c r="V43" i="8" s="1"/>
  <c r="A44" i="8"/>
  <c r="B44" i="8" s="1"/>
  <c r="K41" i="8"/>
  <c r="L41" i="8"/>
  <c r="Q41" i="8"/>
  <c r="R41" i="8"/>
  <c r="J42" i="8"/>
  <c r="E42" i="8"/>
  <c r="D42" i="8"/>
  <c r="F42" i="8"/>
  <c r="P42" i="8"/>
  <c r="O39" i="8"/>
  <c r="N39" i="8"/>
  <c r="H40" i="8"/>
  <c r="M40" i="8"/>
  <c r="I40" i="8"/>
  <c r="G41" i="8"/>
  <c r="Y41" i="8" s="1"/>
  <c r="AA41" i="8" l="1"/>
  <c r="Z41" i="8"/>
  <c r="AA40" i="8"/>
  <c r="Z40" i="8"/>
  <c r="W43" i="8"/>
  <c r="X43" i="8"/>
  <c r="G42" i="8"/>
  <c r="S42" i="8" s="1"/>
  <c r="H41" i="8"/>
  <c r="M41" i="8"/>
  <c r="I41" i="8"/>
  <c r="E43" i="8"/>
  <c r="D43" i="8"/>
  <c r="J43" i="8"/>
  <c r="F43" i="8"/>
  <c r="P43" i="8"/>
  <c r="R42" i="8"/>
  <c r="Q42" i="8"/>
  <c r="L42" i="8"/>
  <c r="K42" i="8"/>
  <c r="C44" i="8"/>
  <c r="V44" i="8" s="1"/>
  <c r="A45" i="8"/>
  <c r="B45" i="8" s="1"/>
  <c r="O40" i="8"/>
  <c r="N40" i="8"/>
  <c r="S41" i="8"/>
  <c r="Y42" i="8" l="1"/>
  <c r="W44" i="8"/>
  <c r="X44" i="8"/>
  <c r="I42" i="8"/>
  <c r="M42" i="8"/>
  <c r="O42" i="8" s="1"/>
  <c r="H42" i="8"/>
  <c r="Q43" i="8"/>
  <c r="R43" i="8"/>
  <c r="C45" i="8"/>
  <c r="V45" i="8" s="1"/>
  <c r="A46" i="8"/>
  <c r="B46" i="8" s="1"/>
  <c r="L43" i="8"/>
  <c r="K43" i="8"/>
  <c r="O41" i="8"/>
  <c r="N41" i="8"/>
  <c r="U41" i="8"/>
  <c r="T41" i="8"/>
  <c r="D44" i="8"/>
  <c r="E44" i="8"/>
  <c r="J44" i="8"/>
  <c r="F44" i="8"/>
  <c r="P44" i="8"/>
  <c r="U42" i="8"/>
  <c r="T42" i="8"/>
  <c r="G43" i="8"/>
  <c r="Y43" i="8" s="1"/>
  <c r="Z43" i="8" l="1"/>
  <c r="AA43" i="8"/>
  <c r="X45" i="8"/>
  <c r="W45" i="8"/>
  <c r="Z42" i="8"/>
  <c r="AA42" i="8"/>
  <c r="N42" i="8"/>
  <c r="L44" i="8"/>
  <c r="K44" i="8"/>
  <c r="R44" i="8"/>
  <c r="Q44" i="8"/>
  <c r="G44" i="8"/>
  <c r="S44" i="8" s="1"/>
  <c r="A47" i="8"/>
  <c r="B47" i="8" s="1"/>
  <c r="C46" i="8"/>
  <c r="V46" i="8" s="1"/>
  <c r="M43" i="8"/>
  <c r="I43" i="8"/>
  <c r="H43" i="8"/>
  <c r="S43" i="8"/>
  <c r="J45" i="8"/>
  <c r="E45" i="8"/>
  <c r="D45" i="8"/>
  <c r="F45" i="8"/>
  <c r="P45" i="8"/>
  <c r="W46" i="8" l="1"/>
  <c r="X46" i="8"/>
  <c r="Y44" i="8"/>
  <c r="T44" i="8"/>
  <c r="U44" i="8"/>
  <c r="U43" i="8"/>
  <c r="T43" i="8"/>
  <c r="J46" i="8"/>
  <c r="E46" i="8"/>
  <c r="D46" i="8"/>
  <c r="F46" i="8"/>
  <c r="P46" i="8"/>
  <c r="G45" i="8"/>
  <c r="S45" i="8" s="1"/>
  <c r="C47" i="8"/>
  <c r="V47" i="8" s="1"/>
  <c r="A48" i="8"/>
  <c r="B48" i="8" s="1"/>
  <c r="R45" i="8"/>
  <c r="Q45" i="8"/>
  <c r="H44" i="8"/>
  <c r="M44" i="8"/>
  <c r="I44" i="8"/>
  <c r="K45" i="8"/>
  <c r="L45" i="8"/>
  <c r="O43" i="8"/>
  <c r="N43" i="8"/>
  <c r="Y45" i="8" l="1"/>
  <c r="W47" i="8"/>
  <c r="X47" i="8"/>
  <c r="Z44" i="8"/>
  <c r="AA44" i="8"/>
  <c r="D47" i="8"/>
  <c r="E47" i="8"/>
  <c r="J47" i="8"/>
  <c r="F47" i="8"/>
  <c r="P47" i="8"/>
  <c r="G46" i="8"/>
  <c r="S46" i="8" s="1"/>
  <c r="O44" i="8"/>
  <c r="N44" i="8"/>
  <c r="A49" i="8"/>
  <c r="B49" i="8" s="1"/>
  <c r="C48" i="8"/>
  <c r="V48" i="8" s="1"/>
  <c r="T45" i="8"/>
  <c r="U45" i="8"/>
  <c r="M45" i="8"/>
  <c r="H45" i="8"/>
  <c r="I45" i="8"/>
  <c r="Q46" i="8"/>
  <c r="R46" i="8"/>
  <c r="K46" i="8"/>
  <c r="L46" i="8"/>
  <c r="Y46" i="8" l="1"/>
  <c r="W48" i="8"/>
  <c r="X48" i="8"/>
  <c r="Z45" i="8"/>
  <c r="AA45" i="8"/>
  <c r="O45" i="8"/>
  <c r="N45" i="8"/>
  <c r="A50" i="8"/>
  <c r="B50" i="8" s="1"/>
  <c r="C49" i="8"/>
  <c r="V49" i="8" s="1"/>
  <c r="L47" i="8"/>
  <c r="K47" i="8"/>
  <c r="U46" i="8"/>
  <c r="T46" i="8"/>
  <c r="D48" i="8"/>
  <c r="E48" i="8"/>
  <c r="J48" i="8"/>
  <c r="F48" i="8"/>
  <c r="P48" i="8"/>
  <c r="M46" i="8"/>
  <c r="I46" i="8"/>
  <c r="H46" i="8"/>
  <c r="Q47" i="8"/>
  <c r="R47" i="8"/>
  <c r="G47" i="8"/>
  <c r="Y47" i="8" s="1"/>
  <c r="AA47" i="8" l="1"/>
  <c r="Z47" i="8"/>
  <c r="W49" i="8"/>
  <c r="X49" i="8"/>
  <c r="AA46" i="8"/>
  <c r="Z46" i="8"/>
  <c r="G48" i="8"/>
  <c r="S48" i="8" s="1"/>
  <c r="K48" i="8"/>
  <c r="L48" i="8"/>
  <c r="J49" i="8"/>
  <c r="E49" i="8"/>
  <c r="D49" i="8"/>
  <c r="F49" i="8"/>
  <c r="P49" i="8"/>
  <c r="N46" i="8"/>
  <c r="O46" i="8"/>
  <c r="A51" i="8"/>
  <c r="B51" i="8" s="1"/>
  <c r="C50" i="8"/>
  <c r="V50" i="8" s="1"/>
  <c r="H47" i="8"/>
  <c r="M47" i="8"/>
  <c r="I47" i="8"/>
  <c r="S47" i="8"/>
  <c r="Q48" i="8"/>
  <c r="R48" i="8"/>
  <c r="X50" i="8" l="1"/>
  <c r="W50" i="8"/>
  <c r="Y48" i="8"/>
  <c r="H48" i="8"/>
  <c r="M48" i="8"/>
  <c r="N48" i="8" s="1"/>
  <c r="I48" i="8"/>
  <c r="R49" i="8"/>
  <c r="Q49" i="8"/>
  <c r="T47" i="8"/>
  <c r="U47" i="8"/>
  <c r="A52" i="8"/>
  <c r="B52" i="8" s="1"/>
  <c r="C51" i="8"/>
  <c r="V51" i="8" s="1"/>
  <c r="K49" i="8"/>
  <c r="L49" i="8"/>
  <c r="O47" i="8"/>
  <c r="N47" i="8"/>
  <c r="G49" i="8"/>
  <c r="Y49" i="8" s="1"/>
  <c r="E50" i="8"/>
  <c r="J50" i="8"/>
  <c r="D50" i="8"/>
  <c r="F50" i="8"/>
  <c r="P50" i="8"/>
  <c r="T48" i="8"/>
  <c r="U48" i="8"/>
  <c r="AA49" i="8" l="1"/>
  <c r="Z49" i="8"/>
  <c r="Z48" i="8"/>
  <c r="AA48" i="8"/>
  <c r="W51" i="8"/>
  <c r="X51" i="8"/>
  <c r="O48" i="8"/>
  <c r="I49" i="8"/>
  <c r="H49" i="8"/>
  <c r="M49" i="8"/>
  <c r="G50" i="8"/>
  <c r="Y50" i="8" s="1"/>
  <c r="S49" i="8"/>
  <c r="L50" i="8"/>
  <c r="K50" i="8"/>
  <c r="D51" i="8"/>
  <c r="J51" i="8"/>
  <c r="E51" i="8"/>
  <c r="F51" i="8"/>
  <c r="P51" i="8"/>
  <c r="Q50" i="8"/>
  <c r="R50" i="8"/>
  <c r="A53" i="8"/>
  <c r="B53" i="8" s="1"/>
  <c r="C52" i="8"/>
  <c r="V52" i="8" s="1"/>
  <c r="AA50" i="8" l="1"/>
  <c r="Z50" i="8"/>
  <c r="X52" i="8"/>
  <c r="W52" i="8"/>
  <c r="G51" i="8"/>
  <c r="M51" i="8" s="1"/>
  <c r="M50" i="8"/>
  <c r="I50" i="8"/>
  <c r="H50" i="8"/>
  <c r="S50" i="8"/>
  <c r="N49" i="8"/>
  <c r="O49" i="8"/>
  <c r="J52" i="8"/>
  <c r="E52" i="8"/>
  <c r="D52" i="8"/>
  <c r="F52" i="8"/>
  <c r="P52" i="8"/>
  <c r="Q51" i="8"/>
  <c r="R51" i="8"/>
  <c r="A54" i="8"/>
  <c r="B54" i="8" s="1"/>
  <c r="C53" i="8"/>
  <c r="V53" i="8" s="1"/>
  <c r="L51" i="8"/>
  <c r="K51" i="8"/>
  <c r="U49" i="8"/>
  <c r="T49" i="8"/>
  <c r="W53" i="8" l="1"/>
  <c r="X53" i="8"/>
  <c r="Y51" i="8"/>
  <c r="S51" i="8"/>
  <c r="T51" i="8" s="1"/>
  <c r="H51" i="8"/>
  <c r="I51" i="8"/>
  <c r="U50" i="8"/>
  <c r="T50" i="8"/>
  <c r="J53" i="8"/>
  <c r="E53" i="8"/>
  <c r="D53" i="8"/>
  <c r="F53" i="8"/>
  <c r="P53" i="8"/>
  <c r="K52" i="8"/>
  <c r="L52" i="8"/>
  <c r="Q52" i="8"/>
  <c r="R52" i="8"/>
  <c r="A55" i="8"/>
  <c r="B55" i="8" s="1"/>
  <c r="C54" i="8"/>
  <c r="V54" i="8" s="1"/>
  <c r="O51" i="8"/>
  <c r="N51" i="8"/>
  <c r="G52" i="8"/>
  <c r="S52" i="8" s="1"/>
  <c r="N50" i="8"/>
  <c r="O50" i="8"/>
  <c r="Y52" i="8" l="1"/>
  <c r="X54" i="8"/>
  <c r="W54" i="8"/>
  <c r="AA51" i="8"/>
  <c r="Z51" i="8"/>
  <c r="U51" i="8"/>
  <c r="U52" i="8"/>
  <c r="T52" i="8"/>
  <c r="E54" i="8"/>
  <c r="J54" i="8"/>
  <c r="D54" i="8"/>
  <c r="F54" i="8"/>
  <c r="P54" i="8"/>
  <c r="A56" i="8"/>
  <c r="B56" i="8" s="1"/>
  <c r="C55" i="8"/>
  <c r="V55" i="8" s="1"/>
  <c r="K53" i="8"/>
  <c r="L53" i="8"/>
  <c r="R53" i="8"/>
  <c r="Q53" i="8"/>
  <c r="I52" i="8"/>
  <c r="H52" i="8"/>
  <c r="M52" i="8"/>
  <c r="G53" i="8"/>
  <c r="S53" i="8" s="1"/>
  <c r="W55" i="8" l="1"/>
  <c r="X55" i="8"/>
  <c r="Y53" i="8"/>
  <c r="Z52" i="8"/>
  <c r="AA52" i="8"/>
  <c r="G54" i="8"/>
  <c r="I54" i="8" s="1"/>
  <c r="O52" i="8"/>
  <c r="N52" i="8"/>
  <c r="U53" i="8"/>
  <c r="T53" i="8"/>
  <c r="A57" i="8"/>
  <c r="B57" i="8" s="1"/>
  <c r="C56" i="8"/>
  <c r="V56" i="8" s="1"/>
  <c r="Q54" i="8"/>
  <c r="R54" i="8"/>
  <c r="K54" i="8"/>
  <c r="L54" i="8"/>
  <c r="I53" i="8"/>
  <c r="H53" i="8"/>
  <c r="M53" i="8"/>
  <c r="D55" i="8"/>
  <c r="J55" i="8"/>
  <c r="E55" i="8"/>
  <c r="F55" i="8"/>
  <c r="P55" i="8"/>
  <c r="Y54" i="8" l="1"/>
  <c r="Z54" i="8" s="1"/>
  <c r="AA53" i="8"/>
  <c r="Z53" i="8"/>
  <c r="W56" i="8"/>
  <c r="X56" i="8"/>
  <c r="M54" i="8"/>
  <c r="N54" i="8" s="1"/>
  <c r="G55" i="8"/>
  <c r="H55" i="8" s="1"/>
  <c r="H54" i="8"/>
  <c r="S54" i="8"/>
  <c r="T54" i="8" s="1"/>
  <c r="Q55" i="8"/>
  <c r="R55" i="8"/>
  <c r="N53" i="8"/>
  <c r="O53" i="8"/>
  <c r="J56" i="8"/>
  <c r="D56" i="8"/>
  <c r="E56" i="8"/>
  <c r="F56" i="8"/>
  <c r="P56" i="8"/>
  <c r="L55" i="8"/>
  <c r="K55" i="8"/>
  <c r="A58" i="8"/>
  <c r="B58" i="8" s="1"/>
  <c r="C57" i="8"/>
  <c r="V57" i="8" s="1"/>
  <c r="AA54" i="8" l="1"/>
  <c r="X57" i="8"/>
  <c r="W57" i="8"/>
  <c r="Y55" i="8"/>
  <c r="O54" i="8"/>
  <c r="S55" i="8"/>
  <c r="U55" i="8" s="1"/>
  <c r="I55" i="8"/>
  <c r="M55" i="8"/>
  <c r="N55" i="8" s="1"/>
  <c r="U54" i="8"/>
  <c r="G56" i="8"/>
  <c r="I56" i="8" s="1"/>
  <c r="J57" i="8"/>
  <c r="D57" i="8"/>
  <c r="E57" i="8"/>
  <c r="F57" i="8"/>
  <c r="P57" i="8"/>
  <c r="K56" i="8"/>
  <c r="L56" i="8"/>
  <c r="A59" i="8"/>
  <c r="B59" i="8" s="1"/>
  <c r="C58" i="8"/>
  <c r="V58" i="8" s="1"/>
  <c r="Q56" i="8"/>
  <c r="R56" i="8"/>
  <c r="W58" i="8" l="1"/>
  <c r="X58" i="8"/>
  <c r="AA55" i="8"/>
  <c r="Z55" i="8"/>
  <c r="Y56" i="8"/>
  <c r="T55" i="8"/>
  <c r="O55" i="8"/>
  <c r="H56" i="8"/>
  <c r="M56" i="8"/>
  <c r="O56" i="8" s="1"/>
  <c r="S56" i="8"/>
  <c r="T56" i="8" s="1"/>
  <c r="R57" i="8"/>
  <c r="Q57" i="8"/>
  <c r="L57" i="8"/>
  <c r="K57" i="8"/>
  <c r="E58" i="8"/>
  <c r="J58" i="8"/>
  <c r="D58" i="8"/>
  <c r="F58" i="8"/>
  <c r="P58" i="8"/>
  <c r="A60" i="8"/>
  <c r="B60" i="8" s="1"/>
  <c r="C59" i="8"/>
  <c r="V59" i="8" s="1"/>
  <c r="G57" i="8"/>
  <c r="S57" i="8" s="1"/>
  <c r="W59" i="8" l="1"/>
  <c r="X59" i="8"/>
  <c r="Z56" i="8"/>
  <c r="AA56" i="8"/>
  <c r="Y57" i="8"/>
  <c r="N56" i="8"/>
  <c r="U56" i="8"/>
  <c r="U57" i="8"/>
  <c r="T57" i="8"/>
  <c r="L58" i="8"/>
  <c r="K58" i="8"/>
  <c r="M57" i="8"/>
  <c r="H57" i="8"/>
  <c r="I57" i="8"/>
  <c r="A61" i="8"/>
  <c r="B61" i="8" s="1"/>
  <c r="C60" i="8"/>
  <c r="V60" i="8" s="1"/>
  <c r="G58" i="8"/>
  <c r="Y58" i="8" s="1"/>
  <c r="J59" i="8"/>
  <c r="D59" i="8"/>
  <c r="E59" i="8"/>
  <c r="F59" i="8"/>
  <c r="P59" i="8"/>
  <c r="Q58" i="8"/>
  <c r="R58" i="8"/>
  <c r="AA58" i="8" l="1"/>
  <c r="Z58" i="8"/>
  <c r="Z57" i="8"/>
  <c r="AA57" i="8"/>
  <c r="X60" i="8"/>
  <c r="W60" i="8"/>
  <c r="G59" i="8"/>
  <c r="M59" i="8" s="1"/>
  <c r="Q59" i="8"/>
  <c r="R59" i="8"/>
  <c r="M58" i="8"/>
  <c r="I58" i="8"/>
  <c r="H58" i="8"/>
  <c r="A62" i="8"/>
  <c r="B62" i="8" s="1"/>
  <c r="C61" i="8"/>
  <c r="V61" i="8" s="1"/>
  <c r="K59" i="8"/>
  <c r="L59" i="8"/>
  <c r="S58" i="8"/>
  <c r="J60" i="8"/>
  <c r="D60" i="8"/>
  <c r="E60" i="8"/>
  <c r="F60" i="8"/>
  <c r="P60" i="8"/>
  <c r="N57" i="8"/>
  <c r="O57" i="8"/>
  <c r="W61" i="8" l="1"/>
  <c r="X61" i="8"/>
  <c r="Y59" i="8"/>
  <c r="S59" i="8"/>
  <c r="T59" i="8" s="1"/>
  <c r="H59" i="8"/>
  <c r="I59" i="8"/>
  <c r="G60" i="8"/>
  <c r="Y60" i="8" s="1"/>
  <c r="L60" i="8"/>
  <c r="K60" i="8"/>
  <c r="N58" i="8"/>
  <c r="O58" i="8"/>
  <c r="C62" i="8"/>
  <c r="V62" i="8" s="1"/>
  <c r="A63" i="8"/>
  <c r="B63" i="8" s="1"/>
  <c r="R60" i="8"/>
  <c r="Q60" i="8"/>
  <c r="T58" i="8"/>
  <c r="U58" i="8"/>
  <c r="J61" i="8"/>
  <c r="E61" i="8"/>
  <c r="D61" i="8"/>
  <c r="F61" i="8"/>
  <c r="P61" i="8"/>
  <c r="O59" i="8"/>
  <c r="N59" i="8"/>
  <c r="Z60" i="8" l="1"/>
  <c r="AA60" i="8"/>
  <c r="AA59" i="8"/>
  <c r="Z59" i="8"/>
  <c r="W62" i="8"/>
  <c r="X62" i="8"/>
  <c r="U59" i="8"/>
  <c r="G61" i="8"/>
  <c r="M61" i="8" s="1"/>
  <c r="E62" i="8"/>
  <c r="D62" i="8"/>
  <c r="J62" i="8"/>
  <c r="F62" i="8"/>
  <c r="P62" i="8"/>
  <c r="K61" i="8"/>
  <c r="L61" i="8"/>
  <c r="M60" i="8"/>
  <c r="I60" i="8"/>
  <c r="H60" i="8"/>
  <c r="R61" i="8"/>
  <c r="Q61" i="8"/>
  <c r="A64" i="8"/>
  <c r="B64" i="8" s="1"/>
  <c r="C63" i="8"/>
  <c r="V63" i="8" s="1"/>
  <c r="S60" i="8"/>
  <c r="X63" i="8" l="1"/>
  <c r="W63" i="8"/>
  <c r="Y61" i="8"/>
  <c r="S61" i="8"/>
  <c r="U61" i="8" s="1"/>
  <c r="H61" i="8"/>
  <c r="I61" i="8"/>
  <c r="G62" i="8"/>
  <c r="M62" i="8" s="1"/>
  <c r="A65" i="8"/>
  <c r="B65" i="8" s="1"/>
  <c r="C64" i="8"/>
  <c r="V64" i="8" s="1"/>
  <c r="Q62" i="8"/>
  <c r="R62" i="8"/>
  <c r="T60" i="8"/>
  <c r="U60" i="8"/>
  <c r="N61" i="8"/>
  <c r="O61" i="8"/>
  <c r="O60" i="8"/>
  <c r="N60" i="8"/>
  <c r="D63" i="8"/>
  <c r="E63" i="8"/>
  <c r="J63" i="8"/>
  <c r="F63" i="8"/>
  <c r="P63" i="8"/>
  <c r="L62" i="8"/>
  <c r="K62" i="8"/>
  <c r="AA61" i="8" l="1"/>
  <c r="Z61" i="8"/>
  <c r="W64" i="8"/>
  <c r="X64" i="8"/>
  <c r="Y62" i="8"/>
  <c r="T61" i="8"/>
  <c r="S62" i="8"/>
  <c r="U62" i="8" s="1"/>
  <c r="H62" i="8"/>
  <c r="I62" i="8"/>
  <c r="R63" i="8"/>
  <c r="Q63" i="8"/>
  <c r="G63" i="8"/>
  <c r="Y63" i="8" s="1"/>
  <c r="L63" i="8"/>
  <c r="K63" i="8"/>
  <c r="J64" i="8"/>
  <c r="D64" i="8"/>
  <c r="E64" i="8"/>
  <c r="F64" i="8"/>
  <c r="P64" i="8"/>
  <c r="N62" i="8"/>
  <c r="O62" i="8"/>
  <c r="A66" i="8"/>
  <c r="B66" i="8" s="1"/>
  <c r="C65" i="8"/>
  <c r="V65" i="8" s="1"/>
  <c r="Z63" i="8" l="1"/>
  <c r="AA63" i="8"/>
  <c r="W65" i="8"/>
  <c r="X65" i="8"/>
  <c r="AA62" i="8"/>
  <c r="Z62" i="8"/>
  <c r="T62" i="8"/>
  <c r="H63" i="8"/>
  <c r="M63" i="8"/>
  <c r="I63" i="8"/>
  <c r="R64" i="8"/>
  <c r="Q64" i="8"/>
  <c r="A67" i="8"/>
  <c r="B67" i="8" s="1"/>
  <c r="C66" i="8"/>
  <c r="V66" i="8" s="1"/>
  <c r="S63" i="8"/>
  <c r="G64" i="8"/>
  <c r="S64" i="8" s="1"/>
  <c r="J65" i="8"/>
  <c r="E65" i="8"/>
  <c r="D65" i="8"/>
  <c r="F65" i="8"/>
  <c r="P65" i="8"/>
  <c r="K64" i="8"/>
  <c r="L64" i="8"/>
  <c r="W66" i="8" l="1"/>
  <c r="X66" i="8"/>
  <c r="Y64" i="8"/>
  <c r="G65" i="8"/>
  <c r="H65" i="8" s="1"/>
  <c r="U64" i="8"/>
  <c r="T64" i="8"/>
  <c r="T63" i="8"/>
  <c r="U63" i="8"/>
  <c r="E66" i="8"/>
  <c r="D66" i="8"/>
  <c r="J66" i="8"/>
  <c r="F66" i="8"/>
  <c r="P66" i="8"/>
  <c r="R65" i="8"/>
  <c r="Q65" i="8"/>
  <c r="K65" i="8"/>
  <c r="L65" i="8"/>
  <c r="A68" i="8"/>
  <c r="B68" i="8" s="1"/>
  <c r="C67" i="8"/>
  <c r="V67" i="8" s="1"/>
  <c r="O63" i="8"/>
  <c r="N63" i="8"/>
  <c r="H64" i="8"/>
  <c r="M64" i="8"/>
  <c r="I64" i="8"/>
  <c r="Y65" i="8" l="1"/>
  <c r="AA65" i="8" s="1"/>
  <c r="Z64" i="8"/>
  <c r="AA64" i="8"/>
  <c r="X67" i="8"/>
  <c r="W67" i="8"/>
  <c r="S65" i="8"/>
  <c r="U65" i="8" s="1"/>
  <c r="M65" i="8"/>
  <c r="N65" i="8" s="1"/>
  <c r="I65" i="8"/>
  <c r="O64" i="8"/>
  <c r="N64" i="8"/>
  <c r="Q66" i="8"/>
  <c r="R66" i="8"/>
  <c r="D67" i="8"/>
  <c r="E67" i="8"/>
  <c r="J67" i="8"/>
  <c r="F67" i="8"/>
  <c r="P67" i="8"/>
  <c r="A69" i="8"/>
  <c r="B69" i="8" s="1"/>
  <c r="C68" i="8"/>
  <c r="V68" i="8" s="1"/>
  <c r="L66" i="8"/>
  <c r="K66" i="8"/>
  <c r="G66" i="8"/>
  <c r="Y66" i="8" s="1"/>
  <c r="Z65" i="8" l="1"/>
  <c r="Z66" i="8"/>
  <c r="AA66" i="8"/>
  <c r="X68" i="8"/>
  <c r="W68" i="8"/>
  <c r="T65" i="8"/>
  <c r="O65" i="8"/>
  <c r="L67" i="8"/>
  <c r="K67" i="8"/>
  <c r="M66" i="8"/>
  <c r="I66" i="8"/>
  <c r="H66" i="8"/>
  <c r="J68" i="8"/>
  <c r="D68" i="8"/>
  <c r="E68" i="8"/>
  <c r="F68" i="8"/>
  <c r="P68" i="8"/>
  <c r="S66" i="8"/>
  <c r="A70" i="8"/>
  <c r="B70" i="8" s="1"/>
  <c r="C69" i="8"/>
  <c r="V69" i="8" s="1"/>
  <c r="Q67" i="8"/>
  <c r="R67" i="8"/>
  <c r="G67" i="8"/>
  <c r="S67" i="8" s="1"/>
  <c r="X69" i="8" l="1"/>
  <c r="W69" i="8"/>
  <c r="Y67" i="8"/>
  <c r="G68" i="8"/>
  <c r="M68" i="8" s="1"/>
  <c r="T67" i="8"/>
  <c r="U67" i="8"/>
  <c r="U66" i="8"/>
  <c r="T66" i="8"/>
  <c r="N66" i="8"/>
  <c r="O66" i="8"/>
  <c r="K68" i="8"/>
  <c r="L68" i="8"/>
  <c r="R68" i="8"/>
  <c r="Q68" i="8"/>
  <c r="J69" i="8"/>
  <c r="E69" i="8"/>
  <c r="D69" i="8"/>
  <c r="F69" i="8"/>
  <c r="P69" i="8"/>
  <c r="H67" i="8"/>
  <c r="I67" i="8"/>
  <c r="M67" i="8"/>
  <c r="C70" i="8"/>
  <c r="V70" i="8" s="1"/>
  <c r="A71" i="8"/>
  <c r="B71" i="8" s="1"/>
  <c r="AA67" i="8" l="1"/>
  <c r="Z67" i="8"/>
  <c r="Y68" i="8"/>
  <c r="X70" i="8"/>
  <c r="W70" i="8"/>
  <c r="H68" i="8"/>
  <c r="S68" i="8"/>
  <c r="T68" i="8" s="1"/>
  <c r="I68" i="8"/>
  <c r="L69" i="8"/>
  <c r="K69" i="8"/>
  <c r="O68" i="8"/>
  <c r="N68" i="8"/>
  <c r="R69" i="8"/>
  <c r="Q69" i="8"/>
  <c r="O67" i="8"/>
  <c r="N67" i="8"/>
  <c r="C71" i="8"/>
  <c r="V71" i="8" s="1"/>
  <c r="A72" i="8"/>
  <c r="B72" i="8" s="1"/>
  <c r="E70" i="8"/>
  <c r="D70" i="8"/>
  <c r="J70" i="8"/>
  <c r="F70" i="8"/>
  <c r="P70" i="8"/>
  <c r="G69" i="8"/>
  <c r="S69" i="8" s="1"/>
  <c r="Z68" i="8" l="1"/>
  <c r="AA68" i="8"/>
  <c r="X71" i="8"/>
  <c r="W71" i="8"/>
  <c r="Y69" i="8"/>
  <c r="U68" i="8"/>
  <c r="G70" i="8"/>
  <c r="H70" i="8" s="1"/>
  <c r="U69" i="8"/>
  <c r="T69" i="8"/>
  <c r="L70" i="8"/>
  <c r="K70" i="8"/>
  <c r="D71" i="8"/>
  <c r="J71" i="8"/>
  <c r="E71" i="8"/>
  <c r="F71" i="8"/>
  <c r="P71" i="8"/>
  <c r="Q70" i="8"/>
  <c r="R70" i="8"/>
  <c r="M69" i="8"/>
  <c r="I69" i="8"/>
  <c r="H69" i="8"/>
  <c r="A73" i="8"/>
  <c r="B73" i="8" s="1"/>
  <c r="C72" i="8"/>
  <c r="V72" i="8" s="1"/>
  <c r="W72" i="8" l="1"/>
  <c r="X72" i="8"/>
  <c r="Y70" i="8"/>
  <c r="AA69" i="8"/>
  <c r="Z69" i="8"/>
  <c r="S70" i="8"/>
  <c r="T70" i="8" s="1"/>
  <c r="M70" i="8"/>
  <c r="N70" i="8" s="1"/>
  <c r="I70" i="8"/>
  <c r="J72" i="8"/>
  <c r="E72" i="8"/>
  <c r="D72" i="8"/>
  <c r="F72" i="8"/>
  <c r="P72" i="8"/>
  <c r="A74" i="8"/>
  <c r="C73" i="8"/>
  <c r="V73" i="8" s="1"/>
  <c r="N69" i="8"/>
  <c r="O69" i="8"/>
  <c r="L71" i="8"/>
  <c r="K71" i="8"/>
  <c r="R71" i="8"/>
  <c r="Q71" i="8"/>
  <c r="G71" i="8"/>
  <c r="Y71" i="8" s="1"/>
  <c r="B74" i="8" l="1"/>
  <c r="C74" i="8" s="1"/>
  <c r="Z71" i="8"/>
  <c r="AA71" i="8"/>
  <c r="AA70" i="8"/>
  <c r="Z70" i="8"/>
  <c r="W73" i="8"/>
  <c r="X73" i="8"/>
  <c r="U70" i="8"/>
  <c r="O70" i="8"/>
  <c r="G72" i="8"/>
  <c r="S72" i="8" s="1"/>
  <c r="J73" i="8"/>
  <c r="E73" i="8"/>
  <c r="D73" i="8"/>
  <c r="F73" i="8"/>
  <c r="P73" i="8"/>
  <c r="H71" i="8"/>
  <c r="M71" i="8"/>
  <c r="I71" i="8"/>
  <c r="S71" i="8"/>
  <c r="R72" i="8"/>
  <c r="Q72" i="8"/>
  <c r="K72" i="8"/>
  <c r="L72" i="8"/>
  <c r="V74" i="8" l="1"/>
  <c r="E74" i="8"/>
  <c r="P74" i="8"/>
  <c r="R74" i="8" s="1"/>
  <c r="D74" i="8"/>
  <c r="J74" i="8"/>
  <c r="K74" i="8" s="1"/>
  <c r="F74" i="8"/>
  <c r="Y72" i="8"/>
  <c r="T71" i="8"/>
  <c r="U71" i="8"/>
  <c r="K73" i="8"/>
  <c r="L73" i="8"/>
  <c r="R73" i="8"/>
  <c r="Q73" i="8"/>
  <c r="U72" i="8"/>
  <c r="T72" i="8"/>
  <c r="M72" i="8"/>
  <c r="H72" i="8"/>
  <c r="I72" i="8"/>
  <c r="O71" i="8"/>
  <c r="N71" i="8"/>
  <c r="G73" i="8"/>
  <c r="S73" i="8" s="1"/>
  <c r="L74" i="8" l="1"/>
  <c r="G74" i="8"/>
  <c r="Y74" i="8" s="1"/>
  <c r="AA74" i="8" s="1"/>
  <c r="Q74" i="8"/>
  <c r="X74" i="8"/>
  <c r="W74" i="8"/>
  <c r="Y73" i="8"/>
  <c r="Z72" i="8"/>
  <c r="AA72" i="8"/>
  <c r="U73" i="8"/>
  <c r="T73" i="8"/>
  <c r="M73" i="8"/>
  <c r="I73" i="8"/>
  <c r="H73" i="8"/>
  <c r="O72" i="8"/>
  <c r="N72" i="8"/>
  <c r="M74" i="8" l="1"/>
  <c r="O74" i="8" s="1"/>
  <c r="S74" i="8"/>
  <c r="T74" i="8" s="1"/>
  <c r="H74" i="8"/>
  <c r="Z74" i="8"/>
  <c r="I74" i="8"/>
  <c r="AA73" i="8"/>
  <c r="Z73" i="8"/>
  <c r="N73" i="8"/>
  <c r="O73" i="8"/>
  <c r="U74" i="8" l="1"/>
  <c r="N74" i="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Jaromir Uherek</author>
  </authors>
  <commentList>
    <comment ref="A5" authorId="0" shapeId="0" xr:uid="{00000000-0006-0000-0000-000001000000}">
      <text>
        <r>
          <rPr>
            <b/>
            <sz val="9"/>
            <color indexed="81"/>
            <rFont val="Tahoma"/>
            <family val="2"/>
            <charset val="238"/>
          </rPr>
          <t>Switching frequency</t>
        </r>
      </text>
    </comment>
    <comment ref="A6" authorId="0" shapeId="0" xr:uid="{00000000-0006-0000-0000-000002000000}">
      <text>
        <r>
          <rPr>
            <b/>
            <sz val="9"/>
            <color indexed="81"/>
            <rFont val="Tahoma"/>
            <family val="2"/>
            <charset val="238"/>
          </rPr>
          <t>Inductor value</t>
        </r>
      </text>
    </comment>
    <comment ref="A7" authorId="0" shapeId="0" xr:uid="{00000000-0006-0000-0000-000003000000}">
      <text>
        <r>
          <rPr>
            <b/>
            <sz val="9"/>
            <color indexed="81"/>
            <rFont val="Tahoma"/>
            <family val="2"/>
            <charset val="238"/>
          </rPr>
          <t>Inductor resistance</t>
        </r>
      </text>
    </comment>
    <comment ref="A8" authorId="0" shapeId="0" xr:uid="{00000000-0006-0000-0000-000004000000}">
      <text>
        <r>
          <rPr>
            <b/>
            <sz val="9"/>
            <color indexed="81"/>
            <rFont val="Tahoma"/>
            <family val="2"/>
            <charset val="238"/>
          </rPr>
          <t>DC input voltage</t>
        </r>
      </text>
    </comment>
    <comment ref="A9" authorId="0" shapeId="0" xr:uid="{00000000-0006-0000-0000-000005000000}">
      <text>
        <r>
          <rPr>
            <b/>
            <sz val="9"/>
            <color indexed="81"/>
            <rFont val="Tahoma"/>
            <family val="2"/>
            <charset val="238"/>
          </rPr>
          <t>Output voltage</t>
        </r>
      </text>
    </comment>
    <comment ref="A10" authorId="0" shapeId="0" xr:uid="{00000000-0006-0000-0000-000006000000}">
      <text>
        <r>
          <rPr>
            <b/>
            <sz val="9"/>
            <color indexed="81"/>
            <rFont val="Tahoma"/>
            <family val="2"/>
            <charset val="238"/>
          </rPr>
          <t>ESR of output capacitor</t>
        </r>
      </text>
    </comment>
    <comment ref="A11" authorId="0" shapeId="0" xr:uid="{00000000-0006-0000-0000-000007000000}">
      <text>
        <r>
          <rPr>
            <b/>
            <sz val="9"/>
            <color indexed="81"/>
            <rFont val="Tahoma"/>
            <family val="2"/>
            <charset val="238"/>
          </rPr>
          <t>Output capacitor value</t>
        </r>
      </text>
    </comment>
    <comment ref="A12" authorId="0" shapeId="0" xr:uid="{00000000-0006-0000-0000-000008000000}">
      <text>
        <r>
          <rPr>
            <b/>
            <sz val="9"/>
            <color indexed="81"/>
            <rFont val="Tahoma"/>
            <family val="2"/>
            <charset val="238"/>
          </rPr>
          <t>Ramp compensation (cell filled automatically based on selected device)</t>
        </r>
      </text>
    </comment>
    <comment ref="A13" authorId="0" shapeId="0" xr:uid="{00000000-0006-0000-0000-00000A000000}">
      <text>
        <r>
          <rPr>
            <b/>
            <sz val="9"/>
            <color indexed="81"/>
            <rFont val="Tahoma"/>
            <family val="2"/>
            <charset val="238"/>
          </rPr>
          <t>FB divider, resistor from FB pin to GND</t>
        </r>
      </text>
    </comment>
    <comment ref="A14" authorId="0" shapeId="0" xr:uid="{00000000-0006-0000-0000-00000B000000}">
      <text>
        <r>
          <rPr>
            <b/>
            <sz val="9"/>
            <color indexed="81"/>
            <rFont val="Tahoma"/>
            <family val="2"/>
            <charset val="238"/>
          </rPr>
          <t>FB divider, resistor from FB pin to output voltage</t>
        </r>
      </text>
    </comment>
    <comment ref="A15" authorId="0" shapeId="0" xr:uid="{00000000-0006-0000-0000-00000C000000}">
      <text>
        <r>
          <rPr>
            <b/>
            <sz val="9"/>
            <color indexed="81"/>
            <rFont val="Tahoma"/>
            <family val="2"/>
            <charset val="238"/>
          </rPr>
          <t>Input voltage impedance
(ESR of C2)</t>
        </r>
      </text>
    </comment>
    <comment ref="A16" authorId="0" shapeId="0" xr:uid="{00000000-0006-0000-0000-00000E000000}">
      <text>
        <r>
          <rPr>
            <b/>
            <sz val="9"/>
            <color indexed="81"/>
            <rFont val="Tahoma"/>
            <family val="2"/>
            <charset val="238"/>
          </rPr>
          <t>Voltage on Vcc pin</t>
        </r>
      </text>
    </comment>
    <comment ref="A17" authorId="0" shapeId="0" xr:uid="{00000000-0006-0000-0000-00000F000000}">
      <text>
        <r>
          <rPr>
            <b/>
            <sz val="9"/>
            <color indexed="81"/>
            <rFont val="Tahoma"/>
            <family val="2"/>
            <charset val="238"/>
          </rPr>
          <t>IC current consumption</t>
        </r>
      </text>
    </comment>
    <comment ref="A18" authorId="0" shapeId="0" xr:uid="{00000000-0006-0000-0000-000010000000}">
      <text>
        <r>
          <rPr>
            <b/>
            <sz val="9"/>
            <color indexed="81"/>
            <rFont val="Tahoma"/>
            <family val="2"/>
            <charset val="238"/>
          </rPr>
          <t>Vcc pin to GND pin equivalent resisance while switching (consumption). Calculated from Vcc and Icc, or can be set directly.</t>
        </r>
      </text>
    </comment>
    <comment ref="A19" authorId="0" shapeId="0" xr:uid="{00000000-0006-0000-0000-000011000000}">
      <text>
        <r>
          <rPr>
            <b/>
            <sz val="9"/>
            <color indexed="81"/>
            <rFont val="Tahoma"/>
            <family val="2"/>
            <charset val="238"/>
          </rPr>
          <t>Dynamic resistance of diode from output to "mirror" capacitor</t>
        </r>
      </text>
    </comment>
    <comment ref="A20" authorId="0" shapeId="0" xr:uid="{00000000-0006-0000-0000-000012000000}">
      <text>
        <r>
          <rPr>
            <b/>
            <sz val="9"/>
            <color indexed="81"/>
            <rFont val="Tahoma"/>
            <family val="2"/>
            <charset val="238"/>
          </rPr>
          <t>Resistor in serial with HV diode</t>
        </r>
      </text>
    </comment>
    <comment ref="A21" authorId="0" shapeId="0" xr:uid="{00000000-0006-0000-0000-000013000000}">
      <text>
        <r>
          <rPr>
            <b/>
            <sz val="9"/>
            <color indexed="81"/>
            <rFont val="Tahoma"/>
            <family val="2"/>
            <charset val="238"/>
          </rPr>
          <t>Dynamic resistance of diode from "mirror" capacitor to Vcc pin</t>
        </r>
      </text>
    </comment>
    <comment ref="A22" authorId="0" shapeId="0" xr:uid="{00000000-0006-0000-0000-000014000000}">
      <text>
        <r>
          <rPr>
            <b/>
            <sz val="9"/>
            <color indexed="81"/>
            <rFont val="Tahoma"/>
            <family val="2"/>
            <charset val="238"/>
          </rPr>
          <t>Vcc to GND pin capactor on NCP</t>
        </r>
      </text>
    </comment>
    <comment ref="A23" authorId="0" shapeId="0" xr:uid="{00000000-0006-0000-0000-000015000000}">
      <text>
        <r>
          <rPr>
            <b/>
            <sz val="9"/>
            <color indexed="81"/>
            <rFont val="Tahoma"/>
            <family val="2"/>
            <charset val="238"/>
          </rPr>
          <t>ESR of Vcc capacitor</t>
        </r>
      </text>
    </comment>
    <comment ref="A25" authorId="0" shapeId="0" xr:uid="{00000000-0006-0000-0000-000016000000}">
      <text>
        <r>
          <rPr>
            <b/>
            <sz val="9"/>
            <color indexed="81"/>
            <rFont val="Tahoma"/>
            <family val="2"/>
            <charset val="238"/>
          </rPr>
          <t>Start frequency for analysis</t>
        </r>
      </text>
    </comment>
    <comment ref="A26" authorId="0" shapeId="0" xr:uid="{00000000-0006-0000-0000-000017000000}">
      <text>
        <r>
          <rPr>
            <b/>
            <sz val="9"/>
            <color indexed="81"/>
            <rFont val="Tahoma"/>
            <family val="2"/>
            <charset val="238"/>
          </rPr>
          <t>Stop frequency for analysis</t>
        </r>
      </text>
    </comment>
    <comment ref="A28" authorId="0" shapeId="0" xr:uid="{00000000-0006-0000-0000-000018000000}">
      <text>
        <r>
          <rPr>
            <b/>
            <sz val="9"/>
            <color indexed="81"/>
            <rFont val="Tahoma"/>
            <family val="2"/>
            <charset val="238"/>
          </rPr>
          <t>Crossover frequency</t>
        </r>
      </text>
    </comment>
    <comment ref="A29" authorId="0" shapeId="0" xr:uid="{00000000-0006-0000-0000-000019000000}">
      <text>
        <r>
          <rPr>
            <b/>
            <sz val="9"/>
            <color indexed="81"/>
            <rFont val="Tahoma"/>
            <family val="2"/>
            <charset val="238"/>
          </rPr>
          <t>Set phase margin</t>
        </r>
      </text>
    </comment>
    <comment ref="A30" authorId="0" shapeId="0" xr:uid="{00000000-0006-0000-0000-00001A000000}">
      <text>
        <r>
          <rPr>
            <b/>
            <sz val="9"/>
            <color indexed="81"/>
            <rFont val="Tahoma"/>
            <family val="2"/>
            <charset val="238"/>
          </rPr>
          <t>Extracted from plot arg Hfinal at fc</t>
        </r>
      </text>
    </comment>
    <comment ref="A31" authorId="0" shapeId="0" xr:uid="{00000000-0006-0000-0000-00001B000000}">
      <text>
        <r>
          <rPr>
            <b/>
            <sz val="9"/>
            <color indexed="81"/>
            <rFont val="Tahoma"/>
            <family val="2"/>
            <charset val="238"/>
          </rPr>
          <t>Extracted from plot Hfinal(s) at fc</t>
        </r>
      </text>
    </comment>
    <comment ref="A33" authorId="0" shapeId="0" xr:uid="{00000000-0006-0000-0000-00001C000000}">
      <text>
        <r>
          <rPr>
            <b/>
            <sz val="9"/>
            <color indexed="81"/>
            <rFont val="Tahoma"/>
            <family val="2"/>
            <charset val="238"/>
          </rPr>
          <t>Calculated resistor on COMP pin</t>
        </r>
      </text>
    </comment>
    <comment ref="A34" authorId="0" shapeId="0" xr:uid="{00000000-0006-0000-0000-00001D000000}">
      <text>
        <r>
          <rPr>
            <b/>
            <sz val="9"/>
            <color indexed="81"/>
            <rFont val="Tahoma"/>
            <family val="2"/>
            <charset val="238"/>
          </rPr>
          <t>Calculated capacitor in serial with R2</t>
        </r>
      </text>
    </comment>
    <comment ref="A35" authorId="0" shapeId="0" xr:uid="{00000000-0006-0000-0000-00001E000000}">
      <text>
        <r>
          <rPr>
            <b/>
            <sz val="9"/>
            <color indexed="81"/>
            <rFont val="Tahoma"/>
            <family val="2"/>
            <charset val="238"/>
          </rPr>
          <t>Calculated capacitor on COMP pin</t>
        </r>
      </text>
    </comment>
    <comment ref="A37" authorId="0" shapeId="0" xr:uid="{00000000-0006-0000-0000-00001F000000}">
      <text>
        <r>
          <rPr>
            <b/>
            <sz val="9"/>
            <color indexed="81"/>
            <rFont val="Tahoma"/>
            <family val="2"/>
            <charset val="238"/>
          </rPr>
          <t>Selected resistor on COMP pin</t>
        </r>
      </text>
    </comment>
    <comment ref="A38" authorId="0" shapeId="0" xr:uid="{00000000-0006-0000-0000-000020000000}">
      <text>
        <r>
          <rPr>
            <b/>
            <sz val="9"/>
            <color indexed="81"/>
            <rFont val="Tahoma"/>
            <family val="2"/>
            <charset val="238"/>
          </rPr>
          <t>Selected capacitor in serial with R2</t>
        </r>
      </text>
    </comment>
    <comment ref="A39" authorId="0" shapeId="0" xr:uid="{00000000-0006-0000-0000-000021000000}">
      <text>
        <r>
          <rPr>
            <b/>
            <sz val="9"/>
            <color indexed="81"/>
            <rFont val="Tahoma"/>
            <family val="2"/>
            <charset val="238"/>
          </rPr>
          <t>Selected capacitor on COMP pin</t>
        </r>
      </text>
    </comment>
  </commentList>
</comments>
</file>

<file path=xl/sharedStrings.xml><?xml version="1.0" encoding="utf-8"?>
<sst xmlns="http://schemas.openxmlformats.org/spreadsheetml/2006/main" count="122" uniqueCount="88">
  <si>
    <t>D</t>
  </si>
  <si>
    <t>f</t>
  </si>
  <si>
    <t>tsw</t>
  </si>
  <si>
    <t>mc</t>
  </si>
  <si>
    <t>H0</t>
  </si>
  <si>
    <t>omeg n</t>
  </si>
  <si>
    <t>Qp</t>
  </si>
  <si>
    <t>s (i omeg)</t>
  </si>
  <si>
    <t>1+s/omeg z1</t>
  </si>
  <si>
    <t>1+s/omeg p1</t>
  </si>
  <si>
    <t>s/(o n*Qp)</t>
  </si>
  <si>
    <t>H1(s)</t>
  </si>
  <si>
    <t>H1(s) dB</t>
  </si>
  <si>
    <t>arg angle</t>
  </si>
  <si>
    <t>se</t>
  </si>
  <si>
    <t>HO [dB]</t>
  </si>
  <si>
    <t>Omeg z1</t>
  </si>
  <si>
    <t>omeg p1</t>
  </si>
  <si>
    <t>C0</t>
  </si>
  <si>
    <t>omeg z1</t>
  </si>
  <si>
    <t>omeg p2</t>
  </si>
  <si>
    <t>C(s)</t>
  </si>
  <si>
    <t>C(s) dB</t>
  </si>
  <si>
    <t>Hfinal(s)</t>
  </si>
  <si>
    <t>Hfinal(s) dB</t>
  </si>
  <si>
    <t>Pro C0</t>
  </si>
  <si>
    <t>pro H1</t>
  </si>
  <si>
    <t>pro Gs</t>
  </si>
  <si>
    <t>G10</t>
  </si>
  <si>
    <t>pm [°]</t>
  </si>
  <si>
    <t>pfc [°]</t>
  </si>
  <si>
    <t>boost</t>
  </si>
  <si>
    <t>k</t>
  </si>
  <si>
    <t>fz</t>
  </si>
  <si>
    <t>fp</t>
  </si>
  <si>
    <t>omeg z</t>
  </si>
  <si>
    <t>omeg p</t>
  </si>
  <si>
    <t>G0</t>
  </si>
  <si>
    <t>G(s)</t>
  </si>
  <si>
    <t>G(s) dB</t>
  </si>
  <si>
    <t>T(s)</t>
  </si>
  <si>
    <t>T(s) dB</t>
  </si>
  <si>
    <t>T(s) angle</t>
  </si>
  <si>
    <t>Hfinal(s) angle</t>
  </si>
  <si>
    <t>f [kHz]</t>
  </si>
  <si>
    <t>Vin [V]</t>
  </si>
  <si>
    <t>Vout [V]</t>
  </si>
  <si>
    <r>
      <t>Ri [</t>
    </r>
    <r>
      <rPr>
        <sz val="11"/>
        <color theme="1"/>
        <rFont val="Calibri"/>
        <family val="2"/>
        <charset val="238"/>
      </rPr>
      <t>Ω]</t>
    </r>
  </si>
  <si>
    <t>fmin [Hz]</t>
  </si>
  <si>
    <t>fmax [kHz]</t>
  </si>
  <si>
    <t>fc [Hz]</t>
  </si>
  <si>
    <t>Vcc [V]</t>
  </si>
  <si>
    <t>Icc [mA]</t>
  </si>
  <si>
    <t>Gfc [dB]</t>
  </si>
  <si>
    <t>Green cells are calculated</t>
  </si>
  <si>
    <t>Yellow cells to fill</t>
  </si>
  <si>
    <t>vypocty ze zadanych hodnot</t>
  </si>
  <si>
    <t>vypocet z vypoctenych hodnot R R C na OTA</t>
  </si>
  <si>
    <t>vypocet ze zadanych hodnot R R C na OTA</t>
  </si>
  <si>
    <r>
      <t>Cout (C6) [</t>
    </r>
    <r>
      <rPr>
        <sz val="11"/>
        <color theme="1"/>
        <rFont val="Calibri"/>
        <family val="2"/>
        <charset val="238"/>
      </rPr>
      <t>µF]</t>
    </r>
  </si>
  <si>
    <r>
      <t>Rlower (R3) [k</t>
    </r>
    <r>
      <rPr>
        <sz val="11"/>
        <color theme="1"/>
        <rFont val="Calibri"/>
        <family val="2"/>
        <charset val="238"/>
      </rPr>
      <t>Ω</t>
    </r>
    <r>
      <rPr>
        <sz val="11"/>
        <color theme="1"/>
        <rFont val="Calibri"/>
        <family val="2"/>
        <charset val="238"/>
        <scheme val="minor"/>
      </rPr>
      <t>]</t>
    </r>
  </si>
  <si>
    <r>
      <t>Rupper (R4) [k</t>
    </r>
    <r>
      <rPr>
        <sz val="11"/>
        <color theme="1"/>
        <rFont val="Calibri"/>
        <family val="2"/>
        <charset val="238"/>
      </rPr>
      <t>Ω]</t>
    </r>
  </si>
  <si>
    <r>
      <t>Rvcc load [k</t>
    </r>
    <r>
      <rPr>
        <sz val="11"/>
        <color theme="1"/>
        <rFont val="Calibri"/>
        <family val="2"/>
        <charset val="238"/>
      </rPr>
      <t>Ω]</t>
    </r>
  </si>
  <si>
    <r>
      <t>Rlim (R5) [</t>
    </r>
    <r>
      <rPr>
        <sz val="11"/>
        <color theme="1"/>
        <rFont val="Calibri"/>
        <family val="2"/>
        <charset val="238"/>
      </rPr>
      <t>Ω]</t>
    </r>
  </si>
  <si>
    <r>
      <t>C3 [</t>
    </r>
    <r>
      <rPr>
        <sz val="11"/>
        <color theme="1"/>
        <rFont val="Calibri"/>
        <family val="2"/>
        <charset val="238"/>
      </rPr>
      <t>µF]</t>
    </r>
  </si>
  <si>
    <r>
      <t>Rc (C3) [</t>
    </r>
    <r>
      <rPr>
        <sz val="11"/>
        <color theme="1"/>
        <rFont val="Calibri"/>
        <family val="2"/>
        <charset val="238"/>
      </rPr>
      <t>Ω]</t>
    </r>
  </si>
  <si>
    <r>
      <t>R6 [k</t>
    </r>
    <r>
      <rPr>
        <sz val="11"/>
        <color theme="1"/>
        <rFont val="Calibri"/>
        <family val="2"/>
        <charset val="238"/>
      </rPr>
      <t>Ω]</t>
    </r>
  </si>
  <si>
    <r>
      <t>C7 [n</t>
    </r>
    <r>
      <rPr>
        <sz val="11"/>
        <color theme="1"/>
        <rFont val="Calibri"/>
        <family val="2"/>
        <charset val="238"/>
      </rPr>
      <t>F]</t>
    </r>
  </si>
  <si>
    <t>C4 [nF]</t>
  </si>
  <si>
    <t>L1 [mH]</t>
  </si>
  <si>
    <r>
      <t>Rcout (C6) [</t>
    </r>
    <r>
      <rPr>
        <sz val="11"/>
        <color theme="1"/>
        <rFont val="Calibri"/>
        <family val="2"/>
        <charset val="238"/>
      </rPr>
      <t>Ω]</t>
    </r>
  </si>
  <si>
    <r>
      <t>Sa (IC1) [mA/</t>
    </r>
    <r>
      <rPr>
        <sz val="11"/>
        <color theme="1"/>
        <rFont val="Calibri"/>
        <family val="2"/>
        <charset val="238"/>
      </rPr>
      <t>µ</t>
    </r>
    <r>
      <rPr>
        <sz val="11"/>
        <color theme="1"/>
        <rFont val="Calibri"/>
        <family val="2"/>
        <charset val="238"/>
        <scheme val="minor"/>
      </rPr>
      <t>s]</t>
    </r>
  </si>
  <si>
    <r>
      <t>rd (D2) [</t>
    </r>
    <r>
      <rPr>
        <sz val="11"/>
        <color theme="1"/>
        <rFont val="Calibri"/>
        <family val="2"/>
        <charset val="238"/>
      </rPr>
      <t>Ω]</t>
    </r>
  </si>
  <si>
    <r>
      <t>RL (L1) [</t>
    </r>
    <r>
      <rPr>
        <sz val="11"/>
        <color theme="1"/>
        <rFont val="Calibri"/>
        <family val="2"/>
        <charset val="238"/>
      </rPr>
      <t>Ω]</t>
    </r>
  </si>
  <si>
    <r>
      <t>Rd (D4) [</t>
    </r>
    <r>
      <rPr>
        <sz val="11"/>
        <color theme="1"/>
        <rFont val="Calibri"/>
        <family val="2"/>
        <charset val="238"/>
      </rPr>
      <t>Ω]</t>
    </r>
  </si>
  <si>
    <t>Hdiv</t>
  </si>
  <si>
    <t>IC</t>
  </si>
  <si>
    <t>Sa</t>
  </si>
  <si>
    <t>Gm [mS]</t>
  </si>
  <si>
    <t>NCP10670 60 kHz</t>
  </si>
  <si>
    <t>NCP10670 100 kHz</t>
  </si>
  <si>
    <t>NCP10671 60 kHz</t>
  </si>
  <si>
    <t>NCP10671 100 kHz</t>
  </si>
  <si>
    <t>NCP10672 60 kHz</t>
  </si>
  <si>
    <t>NCP10672 100 kHz</t>
  </si>
  <si>
    <t>NCP10670 - NCP10672 worksheet</t>
  </si>
  <si>
    <t>This excel tool is to help calculate equations from Loop stabilization with NCP1060 document available on onsemi web</t>
  </si>
  <si>
    <t>rev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</si>
</sst>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0.0"/>
    <numFmt numFmtId="165" formatCode="0.000"/>
    <numFmt numFmtId="166" formatCode="0.000000000"/>
  </numFmts>
  <fonts count="1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b/>
      <sz val="9"/>
      <color indexed="81"/>
      <name val="Tahoma"/>
      <family val="2"/>
      <charset val="238"/>
    </font>
    <font>
      <u/>
      <sz val="11"/>
      <color theme="10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28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u/>
      <sz val="16"/>
      <color theme="1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4">
    <xf numFmtId="0" fontId="0" fillId="0" borderId="0" xfId="0"/>
    <xf numFmtId="0" fontId="0" fillId="2" borderId="0" xfId="0" applyFill="1"/>
    <xf numFmtId="0" fontId="1" fillId="0" borderId="0" xfId="0" applyFont="1"/>
    <xf numFmtId="11" fontId="0" fillId="0" borderId="0" xfId="0" applyNumberFormat="1"/>
    <xf numFmtId="1" fontId="0" fillId="0" borderId="0" xfId="0" applyNumberFormat="1"/>
    <xf numFmtId="165" fontId="0" fillId="0" borderId="0" xfId="0" applyNumberFormat="1"/>
    <xf numFmtId="0" fontId="0" fillId="0" borderId="0" xfId="0" applyFont="1"/>
    <xf numFmtId="0" fontId="0" fillId="0" borderId="0" xfId="0" applyAlignment="1">
      <alignment wrapText="1"/>
    </xf>
    <xf numFmtId="2" fontId="0" fillId="0" borderId="0" xfId="0" applyNumberFormat="1" applyAlignment="1">
      <alignment horizontal="center"/>
    </xf>
    <xf numFmtId="0" fontId="0" fillId="2" borderId="0" xfId="0" applyFont="1" applyFill="1"/>
    <xf numFmtId="164" fontId="0" fillId="3" borderId="0" xfId="0" applyNumberFormat="1" applyFill="1"/>
    <xf numFmtId="2" fontId="0" fillId="2" borderId="0" xfId="0" applyNumberFormat="1" applyFill="1"/>
    <xf numFmtId="164" fontId="0" fillId="2" borderId="0" xfId="0" applyNumberFormat="1" applyFill="1"/>
    <xf numFmtId="1" fontId="0" fillId="2" borderId="0" xfId="0" applyNumberFormat="1" applyFill="1"/>
    <xf numFmtId="2" fontId="0" fillId="3" borderId="0" xfId="0" applyNumberFormat="1" applyFill="1"/>
    <xf numFmtId="164" fontId="0" fillId="2" borderId="0" xfId="0" applyNumberFormat="1" applyFont="1" applyFill="1"/>
    <xf numFmtId="1" fontId="0" fillId="3" borderId="0" xfId="0" applyNumberFormat="1" applyFill="1"/>
    <xf numFmtId="0" fontId="0" fillId="0" borderId="0" xfId="0" applyAlignment="1">
      <alignment vertical="center"/>
    </xf>
    <xf numFmtId="0" fontId="0" fillId="0" borderId="0" xfId="0" applyAlignment="1">
      <alignment horizontal="right"/>
    </xf>
    <xf numFmtId="0" fontId="0" fillId="3" borderId="0" xfId="0" applyFill="1"/>
    <xf numFmtId="49" fontId="0" fillId="0" borderId="0" xfId="0" quotePrefix="1" applyNumberFormat="1"/>
    <xf numFmtId="49" fontId="0" fillId="0" borderId="0" xfId="0" applyNumberFormat="1"/>
    <xf numFmtId="0" fontId="9" fillId="4" borderId="0" xfId="0" applyFont="1" applyFill="1" applyAlignment="1">
      <alignment wrapText="1"/>
    </xf>
    <xf numFmtId="0" fontId="9" fillId="4" borderId="0" xfId="0" applyFont="1" applyFill="1"/>
    <xf numFmtId="0" fontId="9" fillId="4" borderId="0" xfId="0" quotePrefix="1" applyFont="1" applyFill="1" applyAlignment="1">
      <alignment horizontal="left"/>
    </xf>
    <xf numFmtId="0" fontId="9" fillId="4" borderId="0" xfId="0" applyFont="1" applyFill="1" applyAlignment="1">
      <alignment horizontal="left"/>
    </xf>
    <xf numFmtId="11" fontId="9" fillId="4" borderId="0" xfId="0" applyNumberFormat="1" applyFont="1" applyFill="1"/>
    <xf numFmtId="49" fontId="9" fillId="4" borderId="0" xfId="0" quotePrefix="1" applyNumberFormat="1" applyFont="1" applyFill="1" applyAlignment="1"/>
    <xf numFmtId="0" fontId="8" fillId="4" borderId="0" xfId="0" applyFont="1" applyFill="1"/>
    <xf numFmtId="166" fontId="9" fillId="4" borderId="0" xfId="0" applyNumberFormat="1" applyFont="1" applyFill="1"/>
    <xf numFmtId="2" fontId="9" fillId="4" borderId="0" xfId="0" applyNumberFormat="1" applyFont="1" applyFill="1"/>
    <xf numFmtId="165" fontId="9" fillId="4" borderId="0" xfId="0" applyNumberFormat="1" applyFont="1" applyFill="1"/>
    <xf numFmtId="11" fontId="8" fillId="4" borderId="0" xfId="0" applyNumberFormat="1" applyFont="1" applyFill="1"/>
    <xf numFmtId="0" fontId="9" fillId="4" borderId="0" xfId="0" applyFont="1" applyFill="1" applyBorder="1"/>
    <xf numFmtId="1" fontId="9" fillId="4" borderId="0" xfId="0" applyNumberFormat="1" applyFont="1" applyFill="1"/>
    <xf numFmtId="0" fontId="9" fillId="4" borderId="0" xfId="0" applyFont="1" applyFill="1" applyAlignment="1">
      <alignment horizontal="center"/>
    </xf>
    <xf numFmtId="165" fontId="9" fillId="4" borderId="0" xfId="0" applyNumberFormat="1" applyFont="1" applyFill="1" applyAlignment="1">
      <alignment horizontal="center"/>
    </xf>
    <xf numFmtId="49" fontId="10" fillId="0" borderId="0" xfId="1" applyNumberFormat="1" applyFont="1" applyAlignment="1">
      <alignment vertical="center"/>
    </xf>
    <xf numFmtId="0" fontId="5" fillId="2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49" fontId="7" fillId="2" borderId="0" xfId="0" quotePrefix="1" applyNumberFormat="1" applyFont="1" applyFill="1" applyAlignment="1">
      <alignment horizontal="left" vertical="center"/>
    </xf>
    <xf numFmtId="0" fontId="0" fillId="0" borderId="0" xfId="0" applyAlignment="1">
      <alignment horizontal="center"/>
    </xf>
    <xf numFmtId="0" fontId="9" fillId="4" borderId="0" xfId="0" applyFont="1" applyFill="1" applyBorder="1" applyAlignment="1">
      <alignment horizontal="center"/>
    </xf>
  </cellXfs>
  <cellStyles count="2">
    <cellStyle name="Hyperlink" xfId="1" builtinId="8"/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/>
            </a:pPr>
            <a:r>
              <a:rPr lang="cs-CZ" sz="1800" b="0">
                <a:sym typeface="Symbol" panose="05050102010706020507" pitchFamily="18" charset="2"/>
              </a:rPr>
              <a:t></a:t>
            </a:r>
            <a:r>
              <a:rPr lang="en-US" sz="1800"/>
              <a:t>H</a:t>
            </a:r>
            <a:r>
              <a:rPr lang="en-US" sz="1800" baseline="-25000"/>
              <a:t>final</a:t>
            </a:r>
            <a:r>
              <a:rPr lang="en-US" sz="1800"/>
              <a:t>(s)</a:t>
            </a:r>
            <a:r>
              <a:rPr lang="en-US" sz="1800" b="0">
                <a:sym typeface="Symbol" panose="05050102010706020507" pitchFamily="18" charset="2"/>
              </a:rPr>
              <a:t></a:t>
            </a:r>
            <a:endParaRPr lang="en-US" sz="1800" b="0"/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7.5917066946026346E-2"/>
          <c:y val="0.14308444062645773"/>
          <c:w val="0.86764688673672952"/>
          <c:h val="0.7151953177319311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Sheet1!$N$23</c:f>
              <c:strCache>
                <c:ptCount val="1"/>
                <c:pt idx="0">
                  <c:v>Hfinal(s) dB</c:v>
                </c:pt>
              </c:strCache>
            </c:strRef>
          </c:tx>
          <c:marker>
            <c:symbol val="none"/>
          </c:marker>
          <c:xVal>
            <c:numRef>
              <c:f>Sheet1!$B$24:$B$74</c:f>
              <c:numCache>
                <c:formatCode>General</c:formatCode>
                <c:ptCount val="51"/>
                <c:pt idx="0">
                  <c:v>10.000000000000002</c:v>
                </c:pt>
                <c:pt idx="1">
                  <c:v>11.481536214968829</c:v>
                </c:pt>
                <c:pt idx="2">
                  <c:v>13.182567385564075</c:v>
                </c:pt>
                <c:pt idx="3">
                  <c:v>15.135612484362087</c:v>
                </c:pt>
                <c:pt idx="4">
                  <c:v>17.378008287493756</c:v>
                </c:pt>
                <c:pt idx="5">
                  <c:v>19.952623149688797</c:v>
                </c:pt>
                <c:pt idx="6">
                  <c:v>22.908676527677738</c:v>
                </c:pt>
                <c:pt idx="7">
                  <c:v>26.302679918953825</c:v>
                </c:pt>
                <c:pt idx="8">
                  <c:v>30.199517204020164</c:v>
                </c:pt>
                <c:pt idx="9">
                  <c:v>34.67368504525318</c:v>
                </c:pt>
                <c:pt idx="10">
                  <c:v>39.810717055349734</c:v>
                </c:pt>
                <c:pt idx="11">
                  <c:v>45.708818961487509</c:v>
                </c:pt>
                <c:pt idx="12">
                  <c:v>52.480746024977286</c:v>
                </c:pt>
                <c:pt idx="13">
                  <c:v>60.255958607435822</c:v>
                </c:pt>
                <c:pt idx="14">
                  <c:v>69.183097091893657</c:v>
                </c:pt>
                <c:pt idx="15">
                  <c:v>79.432823472428197</c:v>
                </c:pt>
                <c:pt idx="16">
                  <c:v>91.201083935591043</c:v>
                </c:pt>
                <c:pt idx="17">
                  <c:v>104.71285480508998</c:v>
                </c:pt>
                <c:pt idx="18">
                  <c:v>120.22644346174135</c:v>
                </c:pt>
                <c:pt idx="19">
                  <c:v>138.0384264602886</c:v>
                </c:pt>
                <c:pt idx="20">
                  <c:v>158.48931924611139</c:v>
                </c:pt>
                <c:pt idx="21">
                  <c:v>181.97008586099847</c:v>
                </c:pt>
                <c:pt idx="22">
                  <c:v>208.92961308540416</c:v>
                </c:pt>
                <c:pt idx="23">
                  <c:v>239.88329190194912</c:v>
                </c:pt>
                <c:pt idx="24">
                  <c:v>275.42287033381683</c:v>
                </c:pt>
                <c:pt idx="25">
                  <c:v>316.22776601683825</c:v>
                </c:pt>
                <c:pt idx="26">
                  <c:v>363.07805477010152</c:v>
                </c:pt>
                <c:pt idx="27">
                  <c:v>416.86938347033532</c:v>
                </c:pt>
                <c:pt idx="28">
                  <c:v>478.63009232263886</c:v>
                </c:pt>
                <c:pt idx="29">
                  <c:v>549.54087385762477</c:v>
                </c:pt>
                <c:pt idx="30">
                  <c:v>630.9573444801938</c:v>
                </c:pt>
                <c:pt idx="31">
                  <c:v>724.43596007499025</c:v>
                </c:pt>
                <c:pt idx="32">
                  <c:v>831.7637711026714</c:v>
                </c:pt>
                <c:pt idx="33">
                  <c:v>954.99258602143675</c:v>
                </c:pt>
                <c:pt idx="34">
                  <c:v>1096.4781961431854</c:v>
                </c:pt>
                <c:pt idx="35">
                  <c:v>1258.925411794168</c:v>
                </c:pt>
                <c:pt idx="36">
                  <c:v>1445.4397707459289</c:v>
                </c:pt>
                <c:pt idx="37">
                  <c:v>1659.5869074375612</c:v>
                </c:pt>
                <c:pt idx="38">
                  <c:v>1905.4607179632485</c:v>
                </c:pt>
                <c:pt idx="39">
                  <c:v>2187.7616239495546</c:v>
                </c:pt>
                <c:pt idx="40">
                  <c:v>2511.8864315095811</c:v>
                </c:pt>
                <c:pt idx="41">
                  <c:v>2884.0315031266077</c:v>
                </c:pt>
                <c:pt idx="42">
                  <c:v>3311.3112148259174</c:v>
                </c:pt>
                <c:pt idx="43">
                  <c:v>3801.8939632056172</c:v>
                </c:pt>
                <c:pt idx="44">
                  <c:v>4365.1583224016631</c:v>
                </c:pt>
                <c:pt idx="45">
                  <c:v>5011.8723362727242</c:v>
                </c:pt>
                <c:pt idx="46">
                  <c:v>5754.399373371567</c:v>
                </c:pt>
                <c:pt idx="47">
                  <c:v>6606.9344800759654</c:v>
                </c:pt>
                <c:pt idx="48">
                  <c:v>7585.775750291853</c:v>
                </c:pt>
                <c:pt idx="49">
                  <c:v>8709.6358995608189</c:v>
                </c:pt>
                <c:pt idx="50">
                  <c:v>10000.000000000009</c:v>
                </c:pt>
              </c:numCache>
            </c:numRef>
          </c:xVal>
          <c:yVal>
            <c:numRef>
              <c:f>Sheet1!$N$24:$N$74</c:f>
              <c:numCache>
                <c:formatCode>General</c:formatCode>
                <c:ptCount val="51"/>
                <c:pt idx="0">
                  <c:v>15.845359595640156</c:v>
                </c:pt>
                <c:pt idx="1">
                  <c:v>15.843949741539227</c:v>
                </c:pt>
                <c:pt idx="2">
                  <c:v>15.842091749747949</c:v>
                </c:pt>
                <c:pt idx="3">
                  <c:v>15.839643408295442</c:v>
                </c:pt>
                <c:pt idx="4">
                  <c:v>15.83641754748713</c:v>
                </c:pt>
                <c:pt idx="5">
                  <c:v>15.832167953550451</c:v>
                </c:pt>
                <c:pt idx="6">
                  <c:v>15.82657096124654</c:v>
                </c:pt>
                <c:pt idx="7">
                  <c:v>15.819201467811975</c:v>
                </c:pt>
                <c:pt idx="8">
                  <c:v>15.809501794540255</c:v>
                </c:pt>
                <c:pt idx="9">
                  <c:v>15.796741464597257</c:v>
                </c:pt>
                <c:pt idx="10">
                  <c:v>15.77996559250105</c:v>
                </c:pt>
                <c:pt idx="11">
                  <c:v>15.75792925092767</c:v>
                </c:pt>
                <c:pt idx="12">
                  <c:v>15.729015008118068</c:v>
                </c:pt>
                <c:pt idx="13">
                  <c:v>15.691131015648981</c:v>
                </c:pt>
                <c:pt idx="14">
                  <c:v>15.641587901428268</c:v>
                </c:pt>
                <c:pt idx="15">
                  <c:v>15.576954783555401</c:v>
                </c:pt>
                <c:pt idx="16">
                  <c:v>15.49289863938866</c:v>
                </c:pt>
                <c:pt idx="17">
                  <c:v>15.384017800290922</c:v>
                </c:pt>
                <c:pt idx="18">
                  <c:v>15.243690046974578</c:v>
                </c:pt>
                <c:pt idx="19">
                  <c:v>15.063968349694134</c:v>
                </c:pt>
                <c:pt idx="20">
                  <c:v>14.835570517258018</c:v>
                </c:pt>
                <c:pt idx="21">
                  <c:v>14.548017592860516</c:v>
                </c:pt>
                <c:pt idx="22">
                  <c:v>14.189971162353498</c:v>
                </c:pt>
                <c:pt idx="23">
                  <c:v>13.749792553968668</c:v>
                </c:pt>
                <c:pt idx="24">
                  <c:v>13.216294285213294</c:v>
                </c:pt>
                <c:pt idx="25">
                  <c:v>12.57958874137673</c:v>
                </c:pt>
                <c:pt idx="26">
                  <c:v>11.831892221000849</c:v>
                </c:pt>
                <c:pt idx="27">
                  <c:v>10.968150006263661</c:v>
                </c:pt>
                <c:pt idx="28">
                  <c:v>9.9864208951458036</c:v>
                </c:pt>
                <c:pt idx="29">
                  <c:v>8.8880618977915677</c:v>
                </c:pt>
                <c:pt idx="30">
                  <c:v>7.6778177071588285</c:v>
                </c:pt>
                <c:pt idx="31">
                  <c:v>6.3638943152726402</c:v>
                </c:pt>
                <c:pt idx="32">
                  <c:v>4.9579919875660003</c:v>
                </c:pt>
                <c:pt idx="33">
                  <c:v>3.4751595767725627</c:v>
                </c:pt>
                <c:pt idx="34">
                  <c:v>1.9332916183928601</c:v>
                </c:pt>
                <c:pt idx="35">
                  <c:v>0.35215919808925644</c:v>
                </c:pt>
                <c:pt idx="36">
                  <c:v>-1.2479837460994851</c:v>
                </c:pt>
                <c:pt idx="37">
                  <c:v>-2.8480162358017891</c:v>
                </c:pt>
                <c:pt idx="38">
                  <c:v>-4.4314842898835041</c:v>
                </c:pt>
                <c:pt idx="39">
                  <c:v>-5.985746520097976</c:v>
                </c:pt>
                <c:pt idx="40">
                  <c:v>-7.5025222278553088</c:v>
                </c:pt>
                <c:pt idx="41">
                  <c:v>-8.9777960336834788</c:v>
                </c:pt>
                <c:pt idx="42">
                  <c:v>-10.411199319702799</c:v>
                </c:pt>
                <c:pt idx="43">
                  <c:v>-11.805095364421909</c:v>
                </c:pt>
                <c:pt idx="44">
                  <c:v>-13.163612564393938</c:v>
                </c:pt>
                <c:pt idx="45">
                  <c:v>-14.491815198990384</c:v>
                </c:pt>
                <c:pt idx="46">
                  <c:v>-15.795117819397781</c:v>
                </c:pt>
                <c:pt idx="47">
                  <c:v>-17.078978715266448</c:v>
                </c:pt>
                <c:pt idx="48">
                  <c:v>-18.348870777826416</c:v>
                </c:pt>
                <c:pt idx="49">
                  <c:v>-19.610525112090635</c:v>
                </c:pt>
                <c:pt idx="50">
                  <c:v>-20.870462718727367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DB1-4FDC-AC68-5649289E6B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8930224"/>
        <c:axId val="348931008"/>
      </c:scatterChart>
      <c:valAx>
        <c:axId val="348930224"/>
        <c:scaling>
          <c:logBase val="10"/>
          <c:orientation val="minMax"/>
          <c:max val="10000"/>
          <c:min val="1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cs-CZ"/>
                  <a:t>Frequency</a:t>
                </a:r>
                <a:r>
                  <a:rPr lang="cs-CZ" baseline="0"/>
                  <a:t> [Hz]</a:t>
                </a:r>
                <a:endParaRPr lang="en-US"/>
              </a:p>
            </c:rich>
          </c:tx>
          <c:overlay val="0"/>
        </c:title>
        <c:numFmt formatCode="#,##0" sourceLinked="0"/>
        <c:majorTickMark val="out"/>
        <c:minorTickMark val="none"/>
        <c:tickLblPos val="nextTo"/>
        <c:crossAx val="348931008"/>
        <c:crossesAt val="-150"/>
        <c:crossBetween val="midCat"/>
      </c:valAx>
      <c:valAx>
        <c:axId val="34893100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cs-CZ"/>
                  <a:t>Gain</a:t>
                </a:r>
                <a:r>
                  <a:rPr lang="cs-CZ" baseline="0"/>
                  <a:t> [dB]</a:t>
                </a:r>
                <a:endParaRPr lang="en-US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348930224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cs-CZ" sz="1400" b="0" i="0" u="none" strike="noStrike" baseline="0">
                <a:effectLst/>
                <a:sym typeface="Symbol" panose="05050102010706020507" pitchFamily="18" charset="2"/>
              </a:rPr>
              <a:t></a:t>
            </a:r>
            <a:r>
              <a:rPr lang="en-US" sz="1800" b="1" i="0" u="none" strike="noStrike" baseline="0">
                <a:effectLst/>
              </a:rPr>
              <a:t>H</a:t>
            </a:r>
            <a:r>
              <a:rPr lang="en-US" sz="1800" b="1" i="0" u="none" strike="noStrike" baseline="-25000">
                <a:effectLst/>
              </a:rPr>
              <a:t>final</a:t>
            </a:r>
            <a:r>
              <a:rPr lang="en-US" sz="1800" b="1" i="0" u="none" strike="noStrike" baseline="0">
                <a:effectLst/>
              </a:rPr>
              <a:t>(s)</a:t>
            </a:r>
            <a:endParaRPr lang="en-US"/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8.890433628633157E-2"/>
          <c:y val="0.15877515438406056"/>
          <c:w val="0.85831256492185681"/>
          <c:h val="0.6714962560846548"/>
        </c:manualLayout>
      </c:layout>
      <c:scatterChart>
        <c:scatterStyle val="smoothMarker"/>
        <c:varyColors val="0"/>
        <c:ser>
          <c:idx val="3"/>
          <c:order val="0"/>
          <c:tx>
            <c:strRef>
              <c:f>Sheet1!$O$23</c:f>
              <c:strCache>
                <c:ptCount val="1"/>
                <c:pt idx="0">
                  <c:v>Hfinal(s) angle</c:v>
                </c:pt>
              </c:strCache>
            </c:strRef>
          </c:tx>
          <c:marker>
            <c:symbol val="none"/>
          </c:marker>
          <c:xVal>
            <c:numRef>
              <c:f>Sheet1!$B$24:$B$74</c:f>
              <c:numCache>
                <c:formatCode>General</c:formatCode>
                <c:ptCount val="51"/>
                <c:pt idx="0">
                  <c:v>10.000000000000002</c:v>
                </c:pt>
                <c:pt idx="1">
                  <c:v>11.481536214968829</c:v>
                </c:pt>
                <c:pt idx="2">
                  <c:v>13.182567385564075</c:v>
                </c:pt>
                <c:pt idx="3">
                  <c:v>15.135612484362087</c:v>
                </c:pt>
                <c:pt idx="4">
                  <c:v>17.378008287493756</c:v>
                </c:pt>
                <c:pt idx="5">
                  <c:v>19.952623149688797</c:v>
                </c:pt>
                <c:pt idx="6">
                  <c:v>22.908676527677738</c:v>
                </c:pt>
                <c:pt idx="7">
                  <c:v>26.302679918953825</c:v>
                </c:pt>
                <c:pt idx="8">
                  <c:v>30.199517204020164</c:v>
                </c:pt>
                <c:pt idx="9">
                  <c:v>34.67368504525318</c:v>
                </c:pt>
                <c:pt idx="10">
                  <c:v>39.810717055349734</c:v>
                </c:pt>
                <c:pt idx="11">
                  <c:v>45.708818961487509</c:v>
                </c:pt>
                <c:pt idx="12">
                  <c:v>52.480746024977286</c:v>
                </c:pt>
                <c:pt idx="13">
                  <c:v>60.255958607435822</c:v>
                </c:pt>
                <c:pt idx="14">
                  <c:v>69.183097091893657</c:v>
                </c:pt>
                <c:pt idx="15">
                  <c:v>79.432823472428197</c:v>
                </c:pt>
                <c:pt idx="16">
                  <c:v>91.201083935591043</c:v>
                </c:pt>
                <c:pt idx="17">
                  <c:v>104.71285480508998</c:v>
                </c:pt>
                <c:pt idx="18">
                  <c:v>120.22644346174135</c:v>
                </c:pt>
                <c:pt idx="19">
                  <c:v>138.0384264602886</c:v>
                </c:pt>
                <c:pt idx="20">
                  <c:v>158.48931924611139</c:v>
                </c:pt>
                <c:pt idx="21">
                  <c:v>181.97008586099847</c:v>
                </c:pt>
                <c:pt idx="22">
                  <c:v>208.92961308540416</c:v>
                </c:pt>
                <c:pt idx="23">
                  <c:v>239.88329190194912</c:v>
                </c:pt>
                <c:pt idx="24">
                  <c:v>275.42287033381683</c:v>
                </c:pt>
                <c:pt idx="25">
                  <c:v>316.22776601683825</c:v>
                </c:pt>
                <c:pt idx="26">
                  <c:v>363.07805477010152</c:v>
                </c:pt>
                <c:pt idx="27">
                  <c:v>416.86938347033532</c:v>
                </c:pt>
                <c:pt idx="28">
                  <c:v>478.63009232263886</c:v>
                </c:pt>
                <c:pt idx="29">
                  <c:v>549.54087385762477</c:v>
                </c:pt>
                <c:pt idx="30">
                  <c:v>630.9573444801938</c:v>
                </c:pt>
                <c:pt idx="31">
                  <c:v>724.43596007499025</c:v>
                </c:pt>
                <c:pt idx="32">
                  <c:v>831.7637711026714</c:v>
                </c:pt>
                <c:pt idx="33">
                  <c:v>954.99258602143675</c:v>
                </c:pt>
                <c:pt idx="34">
                  <c:v>1096.4781961431854</c:v>
                </c:pt>
                <c:pt idx="35">
                  <c:v>1258.925411794168</c:v>
                </c:pt>
                <c:pt idx="36">
                  <c:v>1445.4397707459289</c:v>
                </c:pt>
                <c:pt idx="37">
                  <c:v>1659.5869074375612</c:v>
                </c:pt>
                <c:pt idx="38">
                  <c:v>1905.4607179632485</c:v>
                </c:pt>
                <c:pt idx="39">
                  <c:v>2187.7616239495546</c:v>
                </c:pt>
                <c:pt idx="40">
                  <c:v>2511.8864315095811</c:v>
                </c:pt>
                <c:pt idx="41">
                  <c:v>2884.0315031266077</c:v>
                </c:pt>
                <c:pt idx="42">
                  <c:v>3311.3112148259174</c:v>
                </c:pt>
                <c:pt idx="43">
                  <c:v>3801.8939632056172</c:v>
                </c:pt>
                <c:pt idx="44">
                  <c:v>4365.1583224016631</c:v>
                </c:pt>
                <c:pt idx="45">
                  <c:v>5011.8723362727242</c:v>
                </c:pt>
                <c:pt idx="46">
                  <c:v>5754.399373371567</c:v>
                </c:pt>
                <c:pt idx="47">
                  <c:v>6606.9344800759654</c:v>
                </c:pt>
                <c:pt idx="48">
                  <c:v>7585.775750291853</c:v>
                </c:pt>
                <c:pt idx="49">
                  <c:v>8709.6358995608189</c:v>
                </c:pt>
                <c:pt idx="50">
                  <c:v>10000.000000000009</c:v>
                </c:pt>
              </c:numCache>
            </c:numRef>
          </c:xVal>
          <c:yVal>
            <c:numRef>
              <c:f>Sheet1!$O$24:$O$74</c:f>
              <c:numCache>
                <c:formatCode>General</c:formatCode>
                <c:ptCount val="51"/>
                <c:pt idx="0">
                  <c:v>-2.1299513039288618</c:v>
                </c:pt>
                <c:pt idx="1">
                  <c:v>-2.4453113838455862</c:v>
                </c:pt>
                <c:pt idx="2">
                  <c:v>-2.8072906455142719</c:v>
                </c:pt>
                <c:pt idx="3">
                  <c:v>-3.2227433346195129</c:v>
                </c:pt>
                <c:pt idx="4">
                  <c:v>-3.6995123010972164</c:v>
                </c:pt>
                <c:pt idx="5">
                  <c:v>-4.2465617734835259</c:v>
                </c:pt>
                <c:pt idx="6">
                  <c:v>-4.8741228838564297</c:v>
                </c:pt>
                <c:pt idx="7">
                  <c:v>-5.5938503872694705</c:v>
                </c:pt>
                <c:pt idx="8">
                  <c:v>-6.4189871260352911</c:v>
                </c:pt>
                <c:pt idx="9">
                  <c:v>-7.3645298635136252</c:v>
                </c:pt>
                <c:pt idx="10">
                  <c:v>-8.4473857118940732</c:v>
                </c:pt>
                <c:pt idx="11">
                  <c:v>-9.686501935207124</c:v>
                </c:pt>
                <c:pt idx="12">
                  <c:v>-11.102942752252453</c:v>
                </c:pt>
                <c:pt idx="13">
                  <c:v>-12.719874228761256</c:v>
                </c:pt>
                <c:pt idx="14">
                  <c:v>-14.5624020418787</c:v>
                </c:pt>
                <c:pt idx="15">
                  <c:v>-16.657187260118445</c:v>
                </c:pt>
                <c:pt idx="16">
                  <c:v>-19.031744568527476</c:v>
                </c:pt>
                <c:pt idx="17">
                  <c:v>-21.713311186383244</c:v>
                </c:pt>
                <c:pt idx="18">
                  <c:v>-24.727173852652097</c:v>
                </c:pt>
                <c:pt idx="19">
                  <c:v>-28.094372778532872</c:v>
                </c:pt>
                <c:pt idx="20">
                  <c:v>-31.828786793180551</c:v>
                </c:pt>
                <c:pt idx="21">
                  <c:v>-35.933759772325558</c:v>
                </c:pt>
                <c:pt idx="22">
                  <c:v>-40.398647778730449</c:v>
                </c:pt>
                <c:pt idx="23">
                  <c:v>-45.19589321144084</c:v>
                </c:pt>
                <c:pt idx="24">
                  <c:v>-50.279350959582409</c:v>
                </c:pt>
                <c:pt idx="25">
                  <c:v>-55.584464328686941</c:v>
                </c:pt>
                <c:pt idx="26">
                  <c:v>-61.030458363958736</c:v>
                </c:pt>
                <c:pt idx="27">
                  <c:v>-66.524122341326475</c:v>
                </c:pt>
                <c:pt idx="28">
                  <c:v>-71.964319271077727</c:v>
                </c:pt>
                <c:pt idx="29">
                  <c:v>-77.246405274189769</c:v>
                </c:pt>
                <c:pt idx="30">
                  <c:v>-82.266291773685737</c:v>
                </c:pt>
                <c:pt idx="31">
                  <c:v>-86.924578383680256</c:v>
                </c:pt>
                <c:pt idx="32">
                  <c:v>-91.131503300660128</c:v>
                </c:pt>
                <c:pt idx="33">
                  <c:v>-94.813103405761481</c:v>
                </c:pt>
                <c:pt idx="34">
                  <c:v>-97.918103785483069</c:v>
                </c:pt>
                <c:pt idx="35">
                  <c:v>-100.42417102138239</c:v>
                </c:pt>
                <c:pt idx="36">
                  <c:v>-102.34177980549471</c:v>
                </c:pt>
                <c:pt idx="37">
                  <c:v>-103.71427881251007</c:v>
                </c:pt>
                <c:pt idx="38">
                  <c:v>-104.61366666939792</c:v>
                </c:pt>
                <c:pt idx="39">
                  <c:v>-105.13274841842306</c:v>
                </c:pt>
                <c:pt idx="40">
                  <c:v>-105.3753185105234</c:v>
                </c:pt>
                <c:pt idx="41">
                  <c:v>-105.44645417890403</c:v>
                </c:pt>
                <c:pt idx="42">
                  <c:v>-105.44475577951376</c:v>
                </c:pt>
                <c:pt idx="43">
                  <c:v>-105.45759402655273</c:v>
                </c:pt>
                <c:pt idx="44">
                  <c:v>-105.55949899612628</c:v>
                </c:pt>
                <c:pt idx="45">
                  <c:v>-105.81312663457257</c:v>
                </c:pt>
                <c:pt idx="46">
                  <c:v>-106.27193558788591</c:v>
                </c:pt>
                <c:pt idx="47">
                  <c:v>-106.98374313468942</c:v>
                </c:pt>
                <c:pt idx="48">
                  <c:v>-107.99452760923083</c:v>
                </c:pt>
                <c:pt idx="49">
                  <c:v>-109.35202544643208</c:v>
                </c:pt>
                <c:pt idx="50">
                  <c:v>-111.10869624854017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DB1-4C08-B2E3-B2EE673940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51438992"/>
        <c:axId val="351438600"/>
      </c:scatterChart>
      <c:valAx>
        <c:axId val="351438992"/>
        <c:scaling>
          <c:logBase val="10"/>
          <c:orientation val="minMax"/>
          <c:max val="10000"/>
          <c:min val="1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cs-CZ" sz="1000" b="1" i="0" baseline="0">
                    <a:effectLst/>
                  </a:rPr>
                  <a:t>Frequency [Hz]</a:t>
                </a:r>
                <a:endParaRPr lang="en-US" sz="1000">
                  <a:effectLst/>
                </a:endParaRPr>
              </a:p>
            </c:rich>
          </c:tx>
          <c:overlay val="0"/>
        </c:title>
        <c:numFmt formatCode="#,##0" sourceLinked="0"/>
        <c:majorTickMark val="out"/>
        <c:minorTickMark val="none"/>
        <c:tickLblPos val="nextTo"/>
        <c:crossAx val="351438600"/>
        <c:crossesAt val="-180"/>
        <c:crossBetween val="midCat"/>
      </c:valAx>
      <c:valAx>
        <c:axId val="351438600"/>
        <c:scaling>
          <c:orientation val="minMax"/>
          <c:min val="-18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/>
                </a:pPr>
                <a:r>
                  <a:rPr lang="cs-CZ" sz="1000" b="1" i="0" baseline="0">
                    <a:effectLst/>
                  </a:rPr>
                  <a:t>Angle [°]</a:t>
                </a:r>
                <a:endParaRPr lang="en-US" sz="1000">
                  <a:effectLst/>
                </a:endParaRP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351438992"/>
        <c:crosses val="autoZero"/>
        <c:crossBetween val="midCat"/>
        <c:majorUnit val="10"/>
      </c:valAx>
    </c:plotArea>
    <c:plotVisOnly val="1"/>
    <c:dispBlanksAs val="gap"/>
    <c:showDLblsOverMax val="0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cs-CZ" sz="1800" b="0" i="0" baseline="0">
                <a:effectLst/>
                <a:sym typeface="Symbol" panose="05050102010706020507" pitchFamily="18" charset="2"/>
              </a:rPr>
              <a:t></a:t>
            </a:r>
            <a:r>
              <a:rPr lang="cs-CZ" sz="1800" b="1" i="0" baseline="0">
                <a:effectLst/>
              </a:rPr>
              <a:t>T</a:t>
            </a:r>
            <a:r>
              <a:rPr lang="en-US" sz="1800" b="1" i="0" baseline="-25000">
                <a:effectLst/>
              </a:rPr>
              <a:t>final</a:t>
            </a:r>
            <a:r>
              <a:rPr lang="en-US" sz="1800" b="1" i="0" baseline="0">
                <a:effectLst/>
              </a:rPr>
              <a:t>(</a:t>
            </a:r>
            <a:r>
              <a:rPr lang="cs-CZ" sz="1800" b="1" i="0" baseline="0">
                <a:effectLst/>
              </a:rPr>
              <a:t>f</a:t>
            </a:r>
            <a:r>
              <a:rPr lang="en-US" sz="1800" b="1" i="0" baseline="0">
                <a:effectLst/>
              </a:rPr>
              <a:t>)</a:t>
            </a:r>
            <a:r>
              <a:rPr lang="en-US" sz="1800" b="0" i="0" baseline="0">
                <a:effectLst/>
                <a:sym typeface="Symbol" panose="05050102010706020507" pitchFamily="18" charset="2"/>
              </a:rPr>
              <a:t></a:t>
            </a:r>
            <a:r>
              <a:rPr lang="cs-CZ" sz="1800" b="0" i="0" baseline="0">
                <a:effectLst/>
                <a:sym typeface="Symbol" panose="05050102010706020507" pitchFamily="18" charset="2"/>
              </a:rPr>
              <a:t> from calculated values</a:t>
            </a:r>
            <a:endParaRPr lang="en-US">
              <a:effectLst/>
            </a:endParaRP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7.7372874022371446E-2"/>
          <c:y val="0.15451067623910694"/>
          <c:w val="0.85568708253762304"/>
          <c:h val="0.7073431608531716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Sheet1!$T$23</c:f>
              <c:strCache>
                <c:ptCount val="1"/>
                <c:pt idx="0">
                  <c:v>T(s) dB</c:v>
                </c:pt>
              </c:strCache>
            </c:strRef>
          </c:tx>
          <c:marker>
            <c:symbol val="none"/>
          </c:marker>
          <c:xVal>
            <c:numRef>
              <c:f>Sheet1!$B$24:$B$75</c:f>
              <c:numCache>
                <c:formatCode>General</c:formatCode>
                <c:ptCount val="52"/>
                <c:pt idx="0">
                  <c:v>10.000000000000002</c:v>
                </c:pt>
                <c:pt idx="1">
                  <c:v>11.481536214968829</c:v>
                </c:pt>
                <c:pt idx="2">
                  <c:v>13.182567385564075</c:v>
                </c:pt>
                <c:pt idx="3">
                  <c:v>15.135612484362087</c:v>
                </c:pt>
                <c:pt idx="4">
                  <c:v>17.378008287493756</c:v>
                </c:pt>
                <c:pt idx="5">
                  <c:v>19.952623149688797</c:v>
                </c:pt>
                <c:pt idx="6">
                  <c:v>22.908676527677738</c:v>
                </c:pt>
                <c:pt idx="7">
                  <c:v>26.302679918953825</c:v>
                </c:pt>
                <c:pt idx="8">
                  <c:v>30.199517204020164</c:v>
                </c:pt>
                <c:pt idx="9">
                  <c:v>34.67368504525318</c:v>
                </c:pt>
                <c:pt idx="10">
                  <c:v>39.810717055349734</c:v>
                </c:pt>
                <c:pt idx="11">
                  <c:v>45.708818961487509</c:v>
                </c:pt>
                <c:pt idx="12">
                  <c:v>52.480746024977286</c:v>
                </c:pt>
                <c:pt idx="13">
                  <c:v>60.255958607435822</c:v>
                </c:pt>
                <c:pt idx="14">
                  <c:v>69.183097091893657</c:v>
                </c:pt>
                <c:pt idx="15">
                  <c:v>79.432823472428197</c:v>
                </c:pt>
                <c:pt idx="16">
                  <c:v>91.201083935591043</c:v>
                </c:pt>
                <c:pt idx="17">
                  <c:v>104.71285480508998</c:v>
                </c:pt>
                <c:pt idx="18">
                  <c:v>120.22644346174135</c:v>
                </c:pt>
                <c:pt idx="19">
                  <c:v>138.0384264602886</c:v>
                </c:pt>
                <c:pt idx="20">
                  <c:v>158.48931924611139</c:v>
                </c:pt>
                <c:pt idx="21">
                  <c:v>181.97008586099847</c:v>
                </c:pt>
                <c:pt idx="22">
                  <c:v>208.92961308540416</c:v>
                </c:pt>
                <c:pt idx="23">
                  <c:v>239.88329190194912</c:v>
                </c:pt>
                <c:pt idx="24">
                  <c:v>275.42287033381683</c:v>
                </c:pt>
                <c:pt idx="25">
                  <c:v>316.22776601683825</c:v>
                </c:pt>
                <c:pt idx="26">
                  <c:v>363.07805477010152</c:v>
                </c:pt>
                <c:pt idx="27">
                  <c:v>416.86938347033532</c:v>
                </c:pt>
                <c:pt idx="28">
                  <c:v>478.63009232263886</c:v>
                </c:pt>
                <c:pt idx="29">
                  <c:v>549.54087385762477</c:v>
                </c:pt>
                <c:pt idx="30">
                  <c:v>630.9573444801938</c:v>
                </c:pt>
                <c:pt idx="31">
                  <c:v>724.43596007499025</c:v>
                </c:pt>
                <c:pt idx="32">
                  <c:v>831.7637711026714</c:v>
                </c:pt>
                <c:pt idx="33">
                  <c:v>954.99258602143675</c:v>
                </c:pt>
                <c:pt idx="34">
                  <c:v>1096.4781961431854</c:v>
                </c:pt>
                <c:pt idx="35">
                  <c:v>1258.925411794168</c:v>
                </c:pt>
                <c:pt idx="36">
                  <c:v>1445.4397707459289</c:v>
                </c:pt>
                <c:pt idx="37">
                  <c:v>1659.5869074375612</c:v>
                </c:pt>
                <c:pt idx="38">
                  <c:v>1905.4607179632485</c:v>
                </c:pt>
                <c:pt idx="39">
                  <c:v>2187.7616239495546</c:v>
                </c:pt>
                <c:pt idx="40">
                  <c:v>2511.8864315095811</c:v>
                </c:pt>
                <c:pt idx="41">
                  <c:v>2884.0315031266077</c:v>
                </c:pt>
                <c:pt idx="42">
                  <c:v>3311.3112148259174</c:v>
                </c:pt>
                <c:pt idx="43">
                  <c:v>3801.8939632056172</c:v>
                </c:pt>
                <c:pt idx="44">
                  <c:v>4365.1583224016631</c:v>
                </c:pt>
                <c:pt idx="45">
                  <c:v>5011.8723362727242</c:v>
                </c:pt>
                <c:pt idx="46">
                  <c:v>5754.399373371567</c:v>
                </c:pt>
                <c:pt idx="47">
                  <c:v>6606.9344800759654</c:v>
                </c:pt>
                <c:pt idx="48">
                  <c:v>7585.775750291853</c:v>
                </c:pt>
                <c:pt idx="49">
                  <c:v>8709.6358995608189</c:v>
                </c:pt>
                <c:pt idx="50">
                  <c:v>10000.000000000009</c:v>
                </c:pt>
                <c:pt idx="51">
                  <c:v>1000</c:v>
                </c:pt>
              </c:numCache>
            </c:numRef>
          </c:xVal>
          <c:yVal>
            <c:numRef>
              <c:f>Sheet1!$T$24:$T$74</c:f>
              <c:numCache>
                <c:formatCode>General</c:formatCode>
                <c:ptCount val="51"/>
                <c:pt idx="0">
                  <c:v>34.74355379337424</c:v>
                </c:pt>
                <c:pt idx="1">
                  <c:v>33.551128753393343</c:v>
                </c:pt>
                <c:pt idx="2">
                  <c:v>32.361086708026242</c:v>
                </c:pt>
                <c:pt idx="3">
                  <c:v>31.174165833053507</c:v>
                </c:pt>
                <c:pt idx="4">
                  <c:v>29.991324655874475</c:v>
                </c:pt>
                <c:pt idx="5">
                  <c:v>28.813801863810113</c:v>
                </c:pt>
                <c:pt idx="6">
                  <c:v>27.643188071131057</c:v>
                </c:pt>
                <c:pt idx="7">
                  <c:v>26.481508780147426</c:v>
                </c:pt>
                <c:pt idx="8">
                  <c:v>25.331314909993967</c:v>
                </c:pt>
                <c:pt idx="9">
                  <c:v>24.195772381783982</c:v>
                </c:pt>
                <c:pt idx="10">
                  <c:v>23.078734669676223</c:v>
                </c:pt>
                <c:pt idx="11">
                  <c:v>21.984771658904929</c:v>
                </c:pt>
                <c:pt idx="12">
                  <c:v>20.919115445803008</c:v>
                </c:pt>
                <c:pt idx="13">
                  <c:v>19.887472053767304</c:v>
                </c:pt>
                <c:pt idx="14">
                  <c:v>18.895644115966675</c:v>
                </c:pt>
                <c:pt idx="15">
                  <c:v>17.948923503276404</c:v>
                </c:pt>
                <c:pt idx="16">
                  <c:v>17.051254749859702</c:v>
                </c:pt>
                <c:pt idx="17">
                  <c:v>16.204241939519019</c:v>
                </c:pt>
                <c:pt idx="18">
                  <c:v>15.406157549008753</c:v>
                </c:pt>
                <c:pt idx="19">
                  <c:v>14.651175599069211</c:v>
                </c:pt>
                <c:pt idx="20">
                  <c:v>13.929052487407048</c:v>
                </c:pt>
                <c:pt idx="21">
                  <c:v>13.225399858682431</c:v>
                </c:pt>
                <c:pt idx="22">
                  <c:v>12.522559281372834</c:v>
                </c:pt>
                <c:pt idx="23">
                  <c:v>11.800950704726279</c:v>
                </c:pt>
                <c:pt idx="24">
                  <c:v>11.040671097197421</c:v>
                </c:pt>
                <c:pt idx="25">
                  <c:v>10.223084306672288</c:v>
                </c:pt>
                <c:pt idx="26">
                  <c:v>9.33216758801575</c:v>
                </c:pt>
                <c:pt idx="27">
                  <c:v>8.3554603736933082</c:v>
                </c:pt>
                <c:pt idx="28">
                  <c:v>7.2845828838255757</c:v>
                </c:pt>
                <c:pt idx="29">
                  <c:v>6.1154155222794069</c:v>
                </c:pt>
                <c:pt idx="30">
                  <c:v>4.8480942061229824</c:v>
                </c:pt>
                <c:pt idx="31">
                  <c:v>3.4869412427633768</c:v>
                </c:pt>
                <c:pt idx="32">
                  <c:v>2.0403341353461091</c:v>
                </c:pt>
                <c:pt idx="33">
                  <c:v>0.52038984859167481</c:v>
                </c:pt>
                <c:pt idx="34">
                  <c:v>-1.0577071038562667</c:v>
                </c:pt>
                <c:pt idx="35">
                  <c:v>-2.6768404131060302</c:v>
                </c:pt>
                <c:pt idx="36">
                  <c:v>-4.3195215017444806</c:v>
                </c:pt>
                <c:pt idx="37">
                  <c:v>-5.9696726718098638</c:v>
                </c:pt>
                <c:pt idx="38">
                  <c:v>-7.6143308631241027</c:v>
                </c:pt>
                <c:pt idx="39">
                  <c:v>-9.2449624664145915</c:v>
                </c:pt>
                <c:pt idx="40">
                  <c:v>-10.858170691927588</c:v>
                </c:pt>
                <c:pt idx="41">
                  <c:v>-12.45573039955341</c:v>
                </c:pt>
                <c:pt idx="42">
                  <c:v>-14.044039165128719</c:v>
                </c:pt>
                <c:pt idx="43">
                  <c:v>-15.633167168544421</c:v>
                </c:pt>
                <c:pt idx="44">
                  <c:v>-17.235698198320566</c:v>
                </c:pt>
                <c:pt idx="45">
                  <c:v>-18.865505203870669</c:v>
                </c:pt>
                <c:pt idx="46">
                  <c:v>-20.536550488164679</c:v>
                </c:pt>
                <c:pt idx="47">
                  <c:v>-22.261788461403199</c:v>
                </c:pt>
                <c:pt idx="48">
                  <c:v>-24.052287672827077</c:v>
                </c:pt>
                <c:pt idx="49">
                  <c:v>-25.916748044213747</c:v>
                </c:pt>
                <c:pt idx="50">
                  <c:v>-27.861617083571588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8D7-4E29-BBCE-49533BFB75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51437032"/>
        <c:axId val="351442520"/>
      </c:scatterChart>
      <c:valAx>
        <c:axId val="351437032"/>
        <c:scaling>
          <c:logBase val="10"/>
          <c:orientation val="minMax"/>
          <c:max val="10000"/>
          <c:min val="1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cs-CZ" sz="1000" b="1" i="0" baseline="0">
                    <a:effectLst/>
                  </a:rPr>
                  <a:t>Frequency [Hz]</a:t>
                </a:r>
                <a:endParaRPr lang="en-US" sz="1000">
                  <a:effectLst/>
                </a:endParaRPr>
              </a:p>
            </c:rich>
          </c:tx>
          <c:overlay val="0"/>
        </c:title>
        <c:numFmt formatCode="#,##0" sourceLinked="0"/>
        <c:majorTickMark val="out"/>
        <c:minorTickMark val="none"/>
        <c:tickLblPos val="nextTo"/>
        <c:crossAx val="351442520"/>
        <c:crossesAt val="-120"/>
        <c:crossBetween val="midCat"/>
      </c:valAx>
      <c:valAx>
        <c:axId val="35144252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cs-CZ" sz="1000" b="1" i="0" baseline="0">
                    <a:effectLst/>
                  </a:rPr>
                  <a:t>Gain [dB]</a:t>
                </a:r>
                <a:endParaRPr lang="en-US" sz="1000">
                  <a:effectLst/>
                </a:endParaRP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351437032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8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cs-CZ" sz="1800" b="0" i="0" baseline="0">
                <a:effectLst/>
                <a:sym typeface="Symbol" panose="05050102010706020507" pitchFamily="18" charset="2"/>
              </a:rPr>
              <a:t></a:t>
            </a:r>
            <a:r>
              <a:rPr lang="cs-CZ" sz="1800" b="1" i="0" baseline="0">
                <a:effectLst/>
              </a:rPr>
              <a:t>T</a:t>
            </a:r>
            <a:r>
              <a:rPr lang="en-US" sz="1800" b="1" i="0" baseline="-25000">
                <a:effectLst/>
              </a:rPr>
              <a:t>final</a:t>
            </a:r>
            <a:r>
              <a:rPr lang="en-US" sz="1800" b="1" i="0" baseline="0">
                <a:effectLst/>
              </a:rPr>
              <a:t>(</a:t>
            </a:r>
            <a:r>
              <a:rPr lang="cs-CZ" sz="1800" b="1" i="0" baseline="0">
                <a:effectLst/>
              </a:rPr>
              <a:t>f</a:t>
            </a:r>
            <a:r>
              <a:rPr lang="en-US" sz="1800" b="1" i="0" baseline="0">
                <a:effectLst/>
              </a:rPr>
              <a:t>)</a:t>
            </a:r>
            <a:r>
              <a:rPr lang="cs-CZ" sz="1800" b="1" i="0" baseline="0">
                <a:effectLst/>
              </a:rPr>
              <a:t> </a:t>
            </a:r>
            <a:r>
              <a:rPr lang="cs-CZ" sz="1800" b="0" i="0" baseline="0">
                <a:effectLst/>
              </a:rPr>
              <a:t>from calculated values</a:t>
            </a:r>
            <a:endParaRPr lang="en-US">
              <a:effectLst/>
            </a:endParaRPr>
          </a:p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8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>
              <a:effectLst/>
            </a:endParaRP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7.389926417553562E-2"/>
          <c:y val="0.1511080214510683"/>
          <c:w val="0.86578878321806085"/>
          <c:h val="0.69449765488363169"/>
        </c:manualLayout>
      </c:layout>
      <c:scatterChart>
        <c:scatterStyle val="smoothMarker"/>
        <c:varyColors val="0"/>
        <c:ser>
          <c:idx val="3"/>
          <c:order val="0"/>
          <c:tx>
            <c:strRef>
              <c:f>Sheet1!$U$23</c:f>
              <c:strCache>
                <c:ptCount val="1"/>
                <c:pt idx="0">
                  <c:v>T(s) angle</c:v>
                </c:pt>
              </c:strCache>
            </c:strRef>
          </c:tx>
          <c:marker>
            <c:symbol val="none"/>
          </c:marker>
          <c:xVal>
            <c:numRef>
              <c:f>Sheet1!$B$24:$B$74</c:f>
              <c:numCache>
                <c:formatCode>General</c:formatCode>
                <c:ptCount val="51"/>
                <c:pt idx="0">
                  <c:v>10.000000000000002</c:v>
                </c:pt>
                <c:pt idx="1">
                  <c:v>11.481536214968829</c:v>
                </c:pt>
                <c:pt idx="2">
                  <c:v>13.182567385564075</c:v>
                </c:pt>
                <c:pt idx="3">
                  <c:v>15.135612484362087</c:v>
                </c:pt>
                <c:pt idx="4">
                  <c:v>17.378008287493756</c:v>
                </c:pt>
                <c:pt idx="5">
                  <c:v>19.952623149688797</c:v>
                </c:pt>
                <c:pt idx="6">
                  <c:v>22.908676527677738</c:v>
                </c:pt>
                <c:pt idx="7">
                  <c:v>26.302679918953825</c:v>
                </c:pt>
                <c:pt idx="8">
                  <c:v>30.199517204020164</c:v>
                </c:pt>
                <c:pt idx="9">
                  <c:v>34.67368504525318</c:v>
                </c:pt>
                <c:pt idx="10">
                  <c:v>39.810717055349734</c:v>
                </c:pt>
                <c:pt idx="11">
                  <c:v>45.708818961487509</c:v>
                </c:pt>
                <c:pt idx="12">
                  <c:v>52.480746024977286</c:v>
                </c:pt>
                <c:pt idx="13">
                  <c:v>60.255958607435822</c:v>
                </c:pt>
                <c:pt idx="14">
                  <c:v>69.183097091893657</c:v>
                </c:pt>
                <c:pt idx="15">
                  <c:v>79.432823472428197</c:v>
                </c:pt>
                <c:pt idx="16">
                  <c:v>91.201083935591043</c:v>
                </c:pt>
                <c:pt idx="17">
                  <c:v>104.71285480508998</c:v>
                </c:pt>
                <c:pt idx="18">
                  <c:v>120.22644346174135</c:v>
                </c:pt>
                <c:pt idx="19">
                  <c:v>138.0384264602886</c:v>
                </c:pt>
                <c:pt idx="20">
                  <c:v>158.48931924611139</c:v>
                </c:pt>
                <c:pt idx="21">
                  <c:v>181.97008586099847</c:v>
                </c:pt>
                <c:pt idx="22">
                  <c:v>208.92961308540416</c:v>
                </c:pt>
                <c:pt idx="23">
                  <c:v>239.88329190194912</c:v>
                </c:pt>
                <c:pt idx="24">
                  <c:v>275.42287033381683</c:v>
                </c:pt>
                <c:pt idx="25">
                  <c:v>316.22776601683825</c:v>
                </c:pt>
                <c:pt idx="26">
                  <c:v>363.07805477010152</c:v>
                </c:pt>
                <c:pt idx="27">
                  <c:v>416.86938347033532</c:v>
                </c:pt>
                <c:pt idx="28">
                  <c:v>478.63009232263886</c:v>
                </c:pt>
                <c:pt idx="29">
                  <c:v>549.54087385762477</c:v>
                </c:pt>
                <c:pt idx="30">
                  <c:v>630.9573444801938</c:v>
                </c:pt>
                <c:pt idx="31">
                  <c:v>724.43596007499025</c:v>
                </c:pt>
                <c:pt idx="32">
                  <c:v>831.7637711026714</c:v>
                </c:pt>
                <c:pt idx="33">
                  <c:v>954.99258602143675</c:v>
                </c:pt>
                <c:pt idx="34">
                  <c:v>1096.4781961431854</c:v>
                </c:pt>
                <c:pt idx="35">
                  <c:v>1258.925411794168</c:v>
                </c:pt>
                <c:pt idx="36">
                  <c:v>1445.4397707459289</c:v>
                </c:pt>
                <c:pt idx="37">
                  <c:v>1659.5869074375612</c:v>
                </c:pt>
                <c:pt idx="38">
                  <c:v>1905.4607179632485</c:v>
                </c:pt>
                <c:pt idx="39">
                  <c:v>2187.7616239495546</c:v>
                </c:pt>
                <c:pt idx="40">
                  <c:v>2511.8864315095811</c:v>
                </c:pt>
                <c:pt idx="41">
                  <c:v>2884.0315031266077</c:v>
                </c:pt>
                <c:pt idx="42">
                  <c:v>3311.3112148259174</c:v>
                </c:pt>
                <c:pt idx="43">
                  <c:v>3801.8939632056172</c:v>
                </c:pt>
                <c:pt idx="44">
                  <c:v>4365.1583224016631</c:v>
                </c:pt>
                <c:pt idx="45">
                  <c:v>5011.8723362727242</c:v>
                </c:pt>
                <c:pt idx="46">
                  <c:v>5754.399373371567</c:v>
                </c:pt>
                <c:pt idx="47">
                  <c:v>6606.9344800759654</c:v>
                </c:pt>
                <c:pt idx="48">
                  <c:v>7585.775750291853</c:v>
                </c:pt>
                <c:pt idx="49">
                  <c:v>8709.6358995608189</c:v>
                </c:pt>
                <c:pt idx="50">
                  <c:v>10000.000000000009</c:v>
                </c:pt>
              </c:numCache>
            </c:numRef>
          </c:xVal>
          <c:yVal>
            <c:numRef>
              <c:f>Sheet1!$U$24:$U$74</c:f>
              <c:numCache>
                <c:formatCode>General</c:formatCode>
                <c:ptCount val="51"/>
                <c:pt idx="0">
                  <c:v>92.426737311256289</c:v>
                </c:pt>
                <c:pt idx="1">
                  <c:v>92.782799940558604</c:v>
                </c:pt>
                <c:pt idx="2">
                  <c:v>93.189849696890107</c:v>
                </c:pt>
                <c:pt idx="3">
                  <c:v>93.654549715163043</c:v>
                </c:pt>
                <c:pt idx="4">
                  <c:v>94.184108005159786</c:v>
                </c:pt>
                <c:pt idx="5">
                  <c:v>94.786145661245826</c:v>
                </c:pt>
                <c:pt idx="6">
                  <c:v>95.468450208412236</c:v>
                </c:pt>
                <c:pt idx="7">
                  <c:v>96.238560673069571</c:v>
                </c:pt>
                <c:pt idx="8">
                  <c:v>97.103115126002876</c:v>
                </c:pt>
                <c:pt idx="9">
                  <c:v>98.066877405310905</c:v>
                </c:pt>
                <c:pt idx="10">
                  <c:v>99.131354764101914</c:v>
                </c:pt>
                <c:pt idx="11">
                  <c:v>100.29293524882002</c:v>
                </c:pt>
                <c:pt idx="12">
                  <c:v>101.54053199270808</c:v>
                </c:pt>
                <c:pt idx="13">
                  <c:v>102.85284365777071</c:v>
                </c:pt>
                <c:pt idx="14">
                  <c:v>104.19553993185195</c:v>
                </c:pt>
                <c:pt idx="15">
                  <c:v>105.51894152764392</c:v>
                </c:pt>
                <c:pt idx="16">
                  <c:v>106.75701113724817</c:v>
                </c:pt>
                <c:pt idx="17">
                  <c:v>107.82856526038506</c:v>
                </c:pt>
                <c:pt idx="18">
                  <c:v>108.64139763247478</c:v>
                </c:pt>
                <c:pt idx="19">
                  <c:v>109.09940630985562</c:v>
                </c:pt>
                <c:pt idx="20">
                  <c:v>109.11197525861569</c:v>
                </c:pt>
                <c:pt idx="21">
                  <c:v>108.60410617705718</c:v>
                </c:pt>
                <c:pt idx="22">
                  <c:v>107.52546246269648</c:v>
                </c:pt>
                <c:pt idx="23">
                  <c:v>105.85669731431294</c:v>
                </c:pt>
                <c:pt idx="24">
                  <c:v>103.61205966922093</c:v>
                </c:pt>
                <c:pt idx="25">
                  <c:v>100.83807232233221</c:v>
                </c:pt>
                <c:pt idx="26">
                  <c:v>97.608867675055734</c:v>
                </c:pt>
                <c:pt idx="27">
                  <c:v>94.019387336985488</c:v>
                </c:pt>
                <c:pt idx="28">
                  <c:v>90.17789989201475</c:v>
                </c:pt>
                <c:pt idx="29">
                  <c:v>86.198999281995455</c:v>
                </c:pt>
                <c:pt idx="30">
                  <c:v>82.197486681494581</c:v>
                </c:pt>
                <c:pt idx="31">
                  <c:v>78.282707440389231</c:v>
                </c:pt>
                <c:pt idx="32">
                  <c:v>74.552527923502794</c:v>
                </c:pt>
                <c:pt idx="33">
                  <c:v>71.086472374593313</c:v>
                </c:pt>
                <c:pt idx="34">
                  <c:v>67.938421611244351</c:v>
                </c:pt>
                <c:pt idx="35">
                  <c:v>65.130184061954523</c:v>
                </c:pt>
                <c:pt idx="36">
                  <c:v>62.647663704755061</c:v>
                </c:pt>
                <c:pt idx="37">
                  <c:v>60.441044187209869</c:v>
                </c:pt>
                <c:pt idx="38">
                  <c:v>58.429514266494159</c:v>
                </c:pt>
                <c:pt idx="39">
                  <c:v>56.509928050723843</c:v>
                </c:pt>
                <c:pt idx="40">
                  <c:v>54.567837694937076</c:v>
                </c:pt>
                <c:pt idx="41">
                  <c:v>52.488899992717776</c:v>
                </c:pt>
                <c:pt idx="42">
                  <c:v>50.168872514747839</c:v>
                </c:pt>
                <c:pt idx="43">
                  <c:v>47.521102821542591</c:v>
                </c:pt>
                <c:pt idx="44">
                  <c:v>44.481177690130096</c:v>
                </c:pt>
                <c:pt idx="45">
                  <c:v>41.008869717658428</c:v>
                </c:pt>
                <c:pt idx="46">
                  <c:v>37.087580853746559</c:v>
                </c:pt>
                <c:pt idx="47">
                  <c:v>32.721313172880265</c:v>
                </c:pt>
                <c:pt idx="48">
                  <c:v>27.9291263039201</c:v>
                </c:pt>
                <c:pt idx="49">
                  <c:v>22.737338625179724</c:v>
                </c:pt>
                <c:pt idx="50">
                  <c:v>17.170437230891928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D50-4069-A0E0-63F753C338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51442912"/>
        <c:axId val="351436640"/>
      </c:scatterChart>
      <c:valAx>
        <c:axId val="351442912"/>
        <c:scaling>
          <c:logBase val="10"/>
          <c:orientation val="minMax"/>
          <c:max val="10000"/>
          <c:min val="1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cs-CZ" sz="1000" b="1" i="0" baseline="0">
                    <a:effectLst/>
                  </a:rPr>
                  <a:t>Frequency [Hz]</a:t>
                </a:r>
                <a:endParaRPr lang="en-US" sz="1000">
                  <a:effectLst/>
                </a:endParaRPr>
              </a:p>
            </c:rich>
          </c:tx>
          <c:overlay val="0"/>
        </c:title>
        <c:numFmt formatCode="#,##0" sourceLinked="0"/>
        <c:majorTickMark val="out"/>
        <c:minorTickMark val="none"/>
        <c:tickLblPos val="nextTo"/>
        <c:crossAx val="351436640"/>
        <c:crossesAt val="-180"/>
        <c:crossBetween val="midCat"/>
      </c:valAx>
      <c:valAx>
        <c:axId val="35143664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cs-CZ" sz="1000" b="1" i="0" baseline="0">
                    <a:effectLst/>
                  </a:rPr>
                  <a:t>Angle [°]</a:t>
                </a:r>
                <a:endParaRPr lang="en-US" sz="1000">
                  <a:effectLst/>
                </a:endParaRP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351442912"/>
        <c:crosses val="autoZero"/>
        <c:crossBetween val="midCat"/>
        <c:majorUnit val="10"/>
      </c:valAx>
    </c:plotArea>
    <c:plotVisOnly val="1"/>
    <c:dispBlanksAs val="gap"/>
    <c:showDLblsOverMax val="0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8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cs-CZ" sz="1800" b="0" i="0" baseline="0">
                <a:effectLst/>
                <a:sym typeface="Symbol" panose="05050102010706020507" pitchFamily="18" charset="2"/>
              </a:rPr>
              <a:t></a:t>
            </a:r>
            <a:r>
              <a:rPr lang="cs-CZ" sz="1800" b="1" i="0" baseline="0">
                <a:effectLst/>
              </a:rPr>
              <a:t>T</a:t>
            </a:r>
            <a:r>
              <a:rPr lang="en-US" sz="1800" b="1" i="0" baseline="-25000">
                <a:effectLst/>
              </a:rPr>
              <a:t>final</a:t>
            </a:r>
            <a:r>
              <a:rPr lang="en-US" sz="1800" b="1" i="0" baseline="0">
                <a:effectLst/>
              </a:rPr>
              <a:t>(</a:t>
            </a:r>
            <a:r>
              <a:rPr lang="cs-CZ" sz="1800" b="1" i="0" baseline="0">
                <a:effectLst/>
              </a:rPr>
              <a:t>f</a:t>
            </a:r>
            <a:r>
              <a:rPr lang="en-US" sz="1800" b="1" i="0" baseline="0">
                <a:effectLst/>
              </a:rPr>
              <a:t>)</a:t>
            </a:r>
            <a:r>
              <a:rPr lang="en-US" sz="1800" b="0" i="0" baseline="0">
                <a:effectLst/>
                <a:sym typeface="Symbol" panose="05050102010706020507" pitchFamily="18" charset="2"/>
              </a:rPr>
              <a:t></a:t>
            </a:r>
            <a:r>
              <a:rPr lang="cs-CZ" sz="1800" b="0" i="0" baseline="0">
                <a:effectLst/>
                <a:sym typeface="Symbol" panose="05050102010706020507" pitchFamily="18" charset="2"/>
              </a:rPr>
              <a:t> </a:t>
            </a:r>
            <a:r>
              <a:rPr lang="cs-CZ" sz="1800" b="0" i="0" baseline="0">
                <a:effectLst/>
              </a:rPr>
              <a:t>from selected values</a:t>
            </a:r>
            <a:endParaRPr lang="en-US">
              <a:effectLst/>
            </a:endParaRP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7.7372874022371446E-2"/>
          <c:y val="0.15451067623910694"/>
          <c:w val="0.85568708253762304"/>
          <c:h val="0.7073431608531716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Sheet1!$T$23</c:f>
              <c:strCache>
                <c:ptCount val="1"/>
                <c:pt idx="0">
                  <c:v>T(s) dB</c:v>
                </c:pt>
              </c:strCache>
            </c:strRef>
          </c:tx>
          <c:marker>
            <c:symbol val="none"/>
          </c:marker>
          <c:xVal>
            <c:numRef>
              <c:f>Sheet1!$B$24:$B$75</c:f>
              <c:numCache>
                <c:formatCode>General</c:formatCode>
                <c:ptCount val="52"/>
                <c:pt idx="0">
                  <c:v>10.000000000000002</c:v>
                </c:pt>
                <c:pt idx="1">
                  <c:v>11.481536214968829</c:v>
                </c:pt>
                <c:pt idx="2">
                  <c:v>13.182567385564075</c:v>
                </c:pt>
                <c:pt idx="3">
                  <c:v>15.135612484362087</c:v>
                </c:pt>
                <c:pt idx="4">
                  <c:v>17.378008287493756</c:v>
                </c:pt>
                <c:pt idx="5">
                  <c:v>19.952623149688797</c:v>
                </c:pt>
                <c:pt idx="6">
                  <c:v>22.908676527677738</c:v>
                </c:pt>
                <c:pt idx="7">
                  <c:v>26.302679918953825</c:v>
                </c:pt>
                <c:pt idx="8">
                  <c:v>30.199517204020164</c:v>
                </c:pt>
                <c:pt idx="9">
                  <c:v>34.67368504525318</c:v>
                </c:pt>
                <c:pt idx="10">
                  <c:v>39.810717055349734</c:v>
                </c:pt>
                <c:pt idx="11">
                  <c:v>45.708818961487509</c:v>
                </c:pt>
                <c:pt idx="12">
                  <c:v>52.480746024977286</c:v>
                </c:pt>
                <c:pt idx="13">
                  <c:v>60.255958607435822</c:v>
                </c:pt>
                <c:pt idx="14">
                  <c:v>69.183097091893657</c:v>
                </c:pt>
                <c:pt idx="15">
                  <c:v>79.432823472428197</c:v>
                </c:pt>
                <c:pt idx="16">
                  <c:v>91.201083935591043</c:v>
                </c:pt>
                <c:pt idx="17">
                  <c:v>104.71285480508998</c:v>
                </c:pt>
                <c:pt idx="18">
                  <c:v>120.22644346174135</c:v>
                </c:pt>
                <c:pt idx="19">
                  <c:v>138.0384264602886</c:v>
                </c:pt>
                <c:pt idx="20">
                  <c:v>158.48931924611139</c:v>
                </c:pt>
                <c:pt idx="21">
                  <c:v>181.97008586099847</c:v>
                </c:pt>
                <c:pt idx="22">
                  <c:v>208.92961308540416</c:v>
                </c:pt>
                <c:pt idx="23">
                  <c:v>239.88329190194912</c:v>
                </c:pt>
                <c:pt idx="24">
                  <c:v>275.42287033381683</c:v>
                </c:pt>
                <c:pt idx="25">
                  <c:v>316.22776601683825</c:v>
                </c:pt>
                <c:pt idx="26">
                  <c:v>363.07805477010152</c:v>
                </c:pt>
                <c:pt idx="27">
                  <c:v>416.86938347033532</c:v>
                </c:pt>
                <c:pt idx="28">
                  <c:v>478.63009232263886</c:v>
                </c:pt>
                <c:pt idx="29">
                  <c:v>549.54087385762477</c:v>
                </c:pt>
                <c:pt idx="30">
                  <c:v>630.9573444801938</c:v>
                </c:pt>
                <c:pt idx="31">
                  <c:v>724.43596007499025</c:v>
                </c:pt>
                <c:pt idx="32">
                  <c:v>831.7637711026714</c:v>
                </c:pt>
                <c:pt idx="33">
                  <c:v>954.99258602143675</c:v>
                </c:pt>
                <c:pt idx="34">
                  <c:v>1096.4781961431854</c:v>
                </c:pt>
                <c:pt idx="35">
                  <c:v>1258.925411794168</c:v>
                </c:pt>
                <c:pt idx="36">
                  <c:v>1445.4397707459289</c:v>
                </c:pt>
                <c:pt idx="37">
                  <c:v>1659.5869074375612</c:v>
                </c:pt>
                <c:pt idx="38">
                  <c:v>1905.4607179632485</c:v>
                </c:pt>
                <c:pt idx="39">
                  <c:v>2187.7616239495546</c:v>
                </c:pt>
                <c:pt idx="40">
                  <c:v>2511.8864315095811</c:v>
                </c:pt>
                <c:pt idx="41">
                  <c:v>2884.0315031266077</c:v>
                </c:pt>
                <c:pt idx="42">
                  <c:v>3311.3112148259174</c:v>
                </c:pt>
                <c:pt idx="43">
                  <c:v>3801.8939632056172</c:v>
                </c:pt>
                <c:pt idx="44">
                  <c:v>4365.1583224016631</c:v>
                </c:pt>
                <c:pt idx="45">
                  <c:v>5011.8723362727242</c:v>
                </c:pt>
                <c:pt idx="46">
                  <c:v>5754.399373371567</c:v>
                </c:pt>
                <c:pt idx="47">
                  <c:v>6606.9344800759654</c:v>
                </c:pt>
                <c:pt idx="48">
                  <c:v>7585.775750291853</c:v>
                </c:pt>
                <c:pt idx="49">
                  <c:v>8709.6358995608189</c:v>
                </c:pt>
                <c:pt idx="50">
                  <c:v>10000.000000000009</c:v>
                </c:pt>
                <c:pt idx="51">
                  <c:v>1000</c:v>
                </c:pt>
              </c:numCache>
            </c:numRef>
          </c:xVal>
          <c:yVal>
            <c:numRef>
              <c:f>Sheet1!$Z$24:$Z$74</c:f>
              <c:numCache>
                <c:formatCode>General</c:formatCode>
                <c:ptCount val="51"/>
                <c:pt idx="0">
                  <c:v>34.690315807371775</c:v>
                </c:pt>
                <c:pt idx="1">
                  <c:v>33.497960521410171</c:v>
                </c:pt>
                <c:pt idx="2">
                  <c:v>32.30800998858134</c:v>
                </c:pt>
                <c:pt idx="3">
                  <c:v>31.121208990379262</c:v>
                </c:pt>
                <c:pt idx="4">
                  <c:v>29.938524534897422</c:v>
                </c:pt>
                <c:pt idx="5">
                  <c:v>28.761206104193203</c:v>
                </c:pt>
                <c:pt idx="6">
                  <c:v>27.590857896050991</c:v>
                </c:pt>
                <c:pt idx="7">
                  <c:v>26.429522244508632</c:v>
                </c:pt>
                <c:pt idx="8">
                  <c:v>25.279770495723465</c:v>
                </c:pt>
                <c:pt idx="9">
                  <c:v>24.144792664359525</c:v>
                </c:pt>
                <c:pt idx="10">
                  <c:v>23.028469532920898</c:v>
                </c:pt>
                <c:pt idx="11">
                  <c:v>21.935400205600352</c:v>
                </c:pt>
                <c:pt idx="12">
                  <c:v>20.87084538706916</c:v>
                </c:pt>
                <c:pt idx="13">
                  <c:v>19.840535089512457</c:v>
                </c:pt>
                <c:pt idx="14">
                  <c:v>18.850285875018518</c:v>
                </c:pt>
                <c:pt idx="15">
                  <c:v>17.905387290466688</c:v>
                </c:pt>
                <c:pt idx="16">
                  <c:v>17.009759842427677</c:v>
                </c:pt>
                <c:pt idx="17">
                  <c:v>16.16495930209032</c:v>
                </c:pt>
                <c:pt idx="18">
                  <c:v>15.369187822605141</c:v>
                </c:pt>
                <c:pt idx="19">
                  <c:v>14.616534892637198</c:v>
                </c:pt>
                <c:pt idx="20">
                  <c:v>13.896670016091822</c:v>
                </c:pt>
                <c:pt idx="21">
                  <c:v>13.195128133776475</c:v>
                </c:pt>
                <c:pt idx="22">
                  <c:v>12.494193875144939</c:v>
                </c:pt>
                <c:pt idx="23">
                  <c:v>11.774254340240098</c:v>
                </c:pt>
                <c:pt idx="24">
                  <c:v>11.015396747191543</c:v>
                </c:pt>
                <c:pt idx="25">
                  <c:v>10.198993629717352</c:v>
                </c:pt>
                <c:pt idx="26">
                  <c:v>9.309043226209937</c:v>
                </c:pt>
                <c:pt idx="27">
                  <c:v>8.3331124130578562</c:v>
                </c:pt>
                <c:pt idx="28">
                  <c:v>7.2628507470699404</c:v>
                </c:pt>
                <c:pt idx="29">
                  <c:v>6.0941668138044882</c:v>
                </c:pt>
                <c:pt idx="30">
                  <c:v>4.8272218458601417</c:v>
                </c:pt>
                <c:pt idx="31">
                  <c:v>3.4663598747639361</c:v>
                </c:pt>
                <c:pt idx="32">
                  <c:v>2.0199764455397187</c:v>
                </c:pt>
                <c:pt idx="33">
                  <c:v>0.50020314686999723</c:v>
                </c:pt>
                <c:pt idx="34">
                  <c:v>-1.0777638748045628</c:v>
                </c:pt>
                <c:pt idx="35">
                  <c:v>-2.6967991987317337</c:v>
                </c:pt>
                <c:pt idx="36">
                  <c:v>-4.3394072082341237</c:v>
                </c:pt>
                <c:pt idx="37">
                  <c:v>-5.9895048424806578</c:v>
                </c:pt>
                <c:pt idx="38">
                  <c:v>-7.6341250196907131</c:v>
                </c:pt>
                <c:pt idx="39">
                  <c:v>-9.2647311729632449</c:v>
                </c:pt>
                <c:pt idx="40">
                  <c:v>-10.877924389589316</c:v>
                </c:pt>
                <c:pt idx="41">
                  <c:v>-12.475478046712407</c:v>
                </c:pt>
                <c:pt idx="42">
                  <c:v>-14.063788703838387</c:v>
                </c:pt>
                <c:pt idx="43">
                  <c:v>-15.652925825166268</c:v>
                </c:pt>
                <c:pt idx="44">
                  <c:v>-17.255472618862193</c:v>
                </c:pt>
                <c:pt idx="45">
                  <c:v>-18.885301426772024</c:v>
                </c:pt>
                <c:pt idx="46">
                  <c:v>-20.556373773283902</c:v>
                </c:pt>
                <c:pt idx="47">
                  <c:v>-22.281643022788877</c:v>
                </c:pt>
                <c:pt idx="48">
                  <c:v>-24.072176394700801</c:v>
                </c:pt>
                <c:pt idx="49">
                  <c:v>-25.936672276344158</c:v>
                </c:pt>
                <c:pt idx="50">
                  <c:v>-27.881576597101734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1D8-40C9-A8B3-C54D559762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51441736"/>
        <c:axId val="351437424"/>
      </c:scatterChart>
      <c:valAx>
        <c:axId val="351441736"/>
        <c:scaling>
          <c:logBase val="10"/>
          <c:orientation val="minMax"/>
          <c:max val="10000"/>
          <c:min val="1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cs-CZ" sz="1000" b="1" i="0" baseline="0">
                    <a:effectLst/>
                  </a:rPr>
                  <a:t>Frequency [Hz]</a:t>
                </a:r>
                <a:endParaRPr lang="en-US" sz="1000">
                  <a:effectLst/>
                </a:endParaRPr>
              </a:p>
            </c:rich>
          </c:tx>
          <c:overlay val="0"/>
        </c:title>
        <c:numFmt formatCode="#,##0" sourceLinked="0"/>
        <c:majorTickMark val="out"/>
        <c:minorTickMark val="none"/>
        <c:tickLblPos val="nextTo"/>
        <c:crossAx val="351437424"/>
        <c:crossesAt val="-120"/>
        <c:crossBetween val="midCat"/>
      </c:valAx>
      <c:valAx>
        <c:axId val="351437424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cs-CZ" sz="1000" b="1" i="0" baseline="0">
                    <a:effectLst/>
                  </a:rPr>
                  <a:t>Gain [dB]</a:t>
                </a:r>
                <a:endParaRPr lang="en-US" sz="1000">
                  <a:effectLst/>
                </a:endParaRP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351441736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8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cs-CZ" sz="1800" b="0" i="0" baseline="0">
                <a:effectLst/>
                <a:sym typeface="Symbol" panose="05050102010706020507" pitchFamily="18" charset="2"/>
              </a:rPr>
              <a:t></a:t>
            </a:r>
            <a:r>
              <a:rPr lang="cs-CZ" sz="1800" b="1" i="0" baseline="0">
                <a:effectLst/>
              </a:rPr>
              <a:t>T</a:t>
            </a:r>
            <a:r>
              <a:rPr lang="en-US" sz="1800" b="1" i="0" baseline="-25000">
                <a:effectLst/>
              </a:rPr>
              <a:t>final</a:t>
            </a:r>
            <a:r>
              <a:rPr lang="en-US" sz="1800" b="1" i="0" baseline="0">
                <a:effectLst/>
              </a:rPr>
              <a:t>(</a:t>
            </a:r>
            <a:r>
              <a:rPr lang="cs-CZ" sz="1800" b="1" i="0" baseline="0">
                <a:effectLst/>
              </a:rPr>
              <a:t>f</a:t>
            </a:r>
            <a:r>
              <a:rPr lang="en-US" sz="1800" b="1" i="0" baseline="0">
                <a:effectLst/>
              </a:rPr>
              <a:t>)</a:t>
            </a:r>
            <a:r>
              <a:rPr lang="cs-CZ" sz="1800" b="1" i="0" baseline="0">
                <a:effectLst/>
              </a:rPr>
              <a:t> </a:t>
            </a:r>
            <a:r>
              <a:rPr lang="cs-CZ" sz="1800" b="0" i="0" baseline="0">
                <a:effectLst/>
              </a:rPr>
              <a:t>from selected values</a:t>
            </a:r>
            <a:endParaRPr lang="en-US">
              <a:effectLst/>
            </a:endParaRP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7.389926417553562E-2"/>
          <c:y val="0.1511080214510683"/>
          <c:w val="0.86578878321806085"/>
          <c:h val="0.69449765488363169"/>
        </c:manualLayout>
      </c:layout>
      <c:scatterChart>
        <c:scatterStyle val="smoothMarker"/>
        <c:varyColors val="0"/>
        <c:ser>
          <c:idx val="3"/>
          <c:order val="0"/>
          <c:tx>
            <c:strRef>
              <c:f>Sheet1!$U$23</c:f>
              <c:strCache>
                <c:ptCount val="1"/>
                <c:pt idx="0">
                  <c:v>T(s) angle</c:v>
                </c:pt>
              </c:strCache>
            </c:strRef>
          </c:tx>
          <c:marker>
            <c:symbol val="none"/>
          </c:marker>
          <c:xVal>
            <c:numRef>
              <c:f>Sheet1!$B$24:$B$74</c:f>
              <c:numCache>
                <c:formatCode>General</c:formatCode>
                <c:ptCount val="51"/>
                <c:pt idx="0">
                  <c:v>10.000000000000002</c:v>
                </c:pt>
                <c:pt idx="1">
                  <c:v>11.481536214968829</c:v>
                </c:pt>
                <c:pt idx="2">
                  <c:v>13.182567385564075</c:v>
                </c:pt>
                <c:pt idx="3">
                  <c:v>15.135612484362087</c:v>
                </c:pt>
                <c:pt idx="4">
                  <c:v>17.378008287493756</c:v>
                </c:pt>
                <c:pt idx="5">
                  <c:v>19.952623149688797</c:v>
                </c:pt>
                <c:pt idx="6">
                  <c:v>22.908676527677738</c:v>
                </c:pt>
                <c:pt idx="7">
                  <c:v>26.302679918953825</c:v>
                </c:pt>
                <c:pt idx="8">
                  <c:v>30.199517204020164</c:v>
                </c:pt>
                <c:pt idx="9">
                  <c:v>34.67368504525318</c:v>
                </c:pt>
                <c:pt idx="10">
                  <c:v>39.810717055349734</c:v>
                </c:pt>
                <c:pt idx="11">
                  <c:v>45.708818961487509</c:v>
                </c:pt>
                <c:pt idx="12">
                  <c:v>52.480746024977286</c:v>
                </c:pt>
                <c:pt idx="13">
                  <c:v>60.255958607435822</c:v>
                </c:pt>
                <c:pt idx="14">
                  <c:v>69.183097091893657</c:v>
                </c:pt>
                <c:pt idx="15">
                  <c:v>79.432823472428197</c:v>
                </c:pt>
                <c:pt idx="16">
                  <c:v>91.201083935591043</c:v>
                </c:pt>
                <c:pt idx="17">
                  <c:v>104.71285480508998</c:v>
                </c:pt>
                <c:pt idx="18">
                  <c:v>120.22644346174135</c:v>
                </c:pt>
                <c:pt idx="19">
                  <c:v>138.0384264602886</c:v>
                </c:pt>
                <c:pt idx="20">
                  <c:v>158.48931924611139</c:v>
                </c:pt>
                <c:pt idx="21">
                  <c:v>181.97008586099847</c:v>
                </c:pt>
                <c:pt idx="22">
                  <c:v>208.92961308540416</c:v>
                </c:pt>
                <c:pt idx="23">
                  <c:v>239.88329190194912</c:v>
                </c:pt>
                <c:pt idx="24">
                  <c:v>275.42287033381683</c:v>
                </c:pt>
                <c:pt idx="25">
                  <c:v>316.22776601683825</c:v>
                </c:pt>
                <c:pt idx="26">
                  <c:v>363.07805477010152</c:v>
                </c:pt>
                <c:pt idx="27">
                  <c:v>416.86938347033532</c:v>
                </c:pt>
                <c:pt idx="28">
                  <c:v>478.63009232263886</c:v>
                </c:pt>
                <c:pt idx="29">
                  <c:v>549.54087385762477</c:v>
                </c:pt>
                <c:pt idx="30">
                  <c:v>630.9573444801938</c:v>
                </c:pt>
                <c:pt idx="31">
                  <c:v>724.43596007499025</c:v>
                </c:pt>
                <c:pt idx="32">
                  <c:v>831.7637711026714</c:v>
                </c:pt>
                <c:pt idx="33">
                  <c:v>954.99258602143675</c:v>
                </c:pt>
                <c:pt idx="34">
                  <c:v>1096.4781961431854</c:v>
                </c:pt>
                <c:pt idx="35">
                  <c:v>1258.925411794168</c:v>
                </c:pt>
                <c:pt idx="36">
                  <c:v>1445.4397707459289</c:v>
                </c:pt>
                <c:pt idx="37">
                  <c:v>1659.5869074375612</c:v>
                </c:pt>
                <c:pt idx="38">
                  <c:v>1905.4607179632485</c:v>
                </c:pt>
                <c:pt idx="39">
                  <c:v>2187.7616239495546</c:v>
                </c:pt>
                <c:pt idx="40">
                  <c:v>2511.8864315095811</c:v>
                </c:pt>
                <c:pt idx="41">
                  <c:v>2884.0315031266077</c:v>
                </c:pt>
                <c:pt idx="42">
                  <c:v>3311.3112148259174</c:v>
                </c:pt>
                <c:pt idx="43">
                  <c:v>3801.8939632056172</c:v>
                </c:pt>
                <c:pt idx="44">
                  <c:v>4365.1583224016631</c:v>
                </c:pt>
                <c:pt idx="45">
                  <c:v>5011.8723362727242</c:v>
                </c:pt>
                <c:pt idx="46">
                  <c:v>5754.399373371567</c:v>
                </c:pt>
                <c:pt idx="47">
                  <c:v>6606.9344800759654</c:v>
                </c:pt>
                <c:pt idx="48">
                  <c:v>7585.775750291853</c:v>
                </c:pt>
                <c:pt idx="49">
                  <c:v>8709.6358995608189</c:v>
                </c:pt>
                <c:pt idx="50">
                  <c:v>10000.000000000009</c:v>
                </c:pt>
              </c:numCache>
            </c:numRef>
          </c:xVal>
          <c:yVal>
            <c:numRef>
              <c:f>Sheet1!$AA$24:$AA$74</c:f>
              <c:numCache>
                <c:formatCode>General</c:formatCode>
                <c:ptCount val="51"/>
                <c:pt idx="0">
                  <c:v>92.444714812834718</c:v>
                </c:pt>
                <c:pt idx="1">
                  <c:v>92.803398029739753</c:v>
                </c:pt>
                <c:pt idx="2">
                  <c:v>93.213434931133719</c:v>
                </c:pt>
                <c:pt idx="3">
                  <c:v>93.681532122984208</c:v>
                </c:pt>
                <c:pt idx="4">
                  <c:v>94.214942256421239</c:v>
                </c:pt>
                <c:pt idx="5">
                  <c:v>94.821329984559469</c:v>
                </c:pt>
                <c:pt idx="6">
                  <c:v>95.508521734439142</c:v>
                </c:pt>
                <c:pt idx="7">
                  <c:v>96.284085406279544</c:v>
                </c:pt>
                <c:pt idx="8">
                  <c:v>97.154670237401362</c:v>
                </c:pt>
                <c:pt idx="9">
                  <c:v>98.12502312730075</c:v>
                </c:pt>
                <c:pt idx="10">
                  <c:v>99.196593121473242</c:v>
                </c:pt>
                <c:pt idx="11">
                  <c:v>100.36565361891137</c:v>
                </c:pt>
                <c:pt idx="12">
                  <c:v>101.62093165242636</c:v>
                </c:pt>
                <c:pt idx="13">
                  <c:v>102.94085761670596</c:v>
                </c:pt>
                <c:pt idx="14">
                  <c:v>104.29075054350395</c:v>
                </c:pt>
                <c:pt idx="15">
                  <c:v>105.620515452448</c:v>
                </c:pt>
                <c:pt idx="16">
                  <c:v>106.86367419701983</c:v>
                </c:pt>
                <c:pt idx="17">
                  <c:v>107.93863818327419</c:v>
                </c:pt>
                <c:pt idx="18">
                  <c:v>108.75290225864165</c:v>
                </c:pt>
                <c:pt idx="19">
                  <c:v>109.21023180019516</c:v>
                </c:pt>
                <c:pt idx="20">
                  <c:v>109.22007296780332</c:v>
                </c:pt>
                <c:pt idx="21">
                  <c:v>108.70767088775831</c:v>
                </c:pt>
                <c:pt idx="22">
                  <c:v>107.62306296629471</c:v>
                </c:pt>
                <c:pt idx="23">
                  <c:v>105.94733775951455</c:v>
                </c:pt>
                <c:pt idx="24">
                  <c:v>103.69517463408469</c:v>
                </c:pt>
                <c:pt idx="25">
                  <c:v>100.91347363923042</c:v>
                </c:pt>
                <c:pt idx="26">
                  <c:v>97.676665975753735</c:v>
                </c:pt>
                <c:pt idx="27">
                  <c:v>94.079908172752923</c:v>
                </c:pt>
                <c:pt idx="28">
                  <c:v>90.231607527838236</c:v>
                </c:pt>
                <c:pt idx="29">
                  <c:v>86.246434521107389</c:v>
                </c:pt>
                <c:pt idx="30">
                  <c:v>82.239220145153226</c:v>
                </c:pt>
                <c:pt idx="31">
                  <c:v>78.319306893713517</c:v>
                </c:pt>
                <c:pt idx="32">
                  <c:v>74.584537040353098</c:v>
                </c:pt>
                <c:pt idx="33">
                  <c:v>71.114398149774033</c:v>
                </c:pt>
                <c:pt idx="34">
                  <c:v>67.962727948941506</c:v>
                </c:pt>
                <c:pt idx="35">
                  <c:v>65.151289568877189</c:v>
                </c:pt>
                <c:pt idx="36">
                  <c:v>62.665942220161384</c:v>
                </c:pt>
                <c:pt idx="37">
                  <c:v>60.456827014461894</c:v>
                </c:pt>
                <c:pt idx="38">
                  <c:v>58.443093411369645</c:v>
                </c:pt>
                <c:pt idx="39">
                  <c:v>56.5215600248101</c:v>
                </c:pt>
                <c:pt idx="40">
                  <c:v>54.577747620014179</c:v>
                </c:pt>
                <c:pt idx="41">
                  <c:v>52.497285854695818</c:v>
                </c:pt>
                <c:pt idx="42">
                  <c:v>50.175909469102145</c:v>
                </c:pt>
                <c:pt idx="43">
                  <c:v>47.526947448044865</c:v>
                </c:pt>
                <c:pt idx="44">
                  <c:v>44.48597203711649</c:v>
                </c:pt>
                <c:pt idx="45">
                  <c:v>41.012744883103231</c:v>
                </c:pt>
                <c:pt idx="46">
                  <c:v>37.090659766020835</c:v>
                </c:pt>
                <c:pt idx="47">
                  <c:v>32.723712228204413</c:v>
                </c:pt>
                <c:pt idx="48">
                  <c:v>27.93095565719598</c:v>
                </c:pt>
                <c:pt idx="49">
                  <c:v>22.738701223778374</c:v>
                </c:pt>
                <c:pt idx="50">
                  <c:v>17.171427031287617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EDC-4F11-810C-D7321AEA6F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51437816"/>
        <c:axId val="351438208"/>
      </c:scatterChart>
      <c:valAx>
        <c:axId val="351437816"/>
        <c:scaling>
          <c:logBase val="10"/>
          <c:orientation val="minMax"/>
          <c:max val="10000"/>
          <c:min val="1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cs-CZ" sz="1000" b="1" i="0" baseline="0">
                    <a:effectLst/>
                  </a:rPr>
                  <a:t>Frequency [Hz]</a:t>
                </a:r>
                <a:endParaRPr lang="en-US" sz="1000">
                  <a:effectLst/>
                </a:endParaRPr>
              </a:p>
            </c:rich>
          </c:tx>
          <c:overlay val="0"/>
        </c:title>
        <c:numFmt formatCode="#,##0" sourceLinked="0"/>
        <c:majorTickMark val="out"/>
        <c:minorTickMark val="none"/>
        <c:tickLblPos val="nextTo"/>
        <c:crossAx val="351438208"/>
        <c:crossesAt val="-180"/>
        <c:crossBetween val="midCat"/>
      </c:valAx>
      <c:valAx>
        <c:axId val="35143820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cs-CZ" sz="1000" b="1" i="0" baseline="0">
                    <a:effectLst/>
                  </a:rPr>
                  <a:t>Angle [°]</a:t>
                </a:r>
                <a:endParaRPr lang="en-US" sz="1000">
                  <a:effectLst/>
                </a:endParaRP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351437816"/>
        <c:crosses val="autoZero"/>
        <c:crossBetween val="midCat"/>
        <c:majorUnit val="10"/>
      </c:valAx>
    </c:plotArea>
    <c:plotVisOnly val="1"/>
    <c:dispBlanksAs val="gap"/>
    <c:showDLblsOverMax val="0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png"/><Relationship Id="rId3" Type="http://schemas.openxmlformats.org/officeDocument/2006/relationships/chart" Target="../charts/chart3.xml"/><Relationship Id="rId7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717268</xdr:colOff>
      <xdr:row>22</xdr:row>
      <xdr:rowOff>140805</xdr:rowOff>
    </xdr:from>
    <xdr:to>
      <xdr:col>9</xdr:col>
      <xdr:colOff>753717</xdr:colOff>
      <xdr:row>40</xdr:row>
      <xdr:rowOff>133235</xdr:rowOff>
    </xdr:to>
    <xdr:graphicFrame macro="">
      <xdr:nvGraphicFramePr>
        <xdr:cNvPr id="8" name="Chart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89365</xdr:colOff>
      <xdr:row>22</xdr:row>
      <xdr:rowOff>112898</xdr:rowOff>
    </xdr:from>
    <xdr:to>
      <xdr:col>19</xdr:col>
      <xdr:colOff>99391</xdr:colOff>
      <xdr:row>40</xdr:row>
      <xdr:rowOff>124239</xdr:rowOff>
    </xdr:to>
    <xdr:graphicFrame macro="">
      <xdr:nvGraphicFramePr>
        <xdr:cNvPr id="9" name="Chart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545568</xdr:colOff>
      <xdr:row>41</xdr:row>
      <xdr:rowOff>168880</xdr:rowOff>
    </xdr:from>
    <xdr:to>
      <xdr:col>8</xdr:col>
      <xdr:colOff>799644</xdr:colOff>
      <xdr:row>59</xdr:row>
      <xdr:rowOff>159880</xdr:rowOff>
    </xdr:to>
    <xdr:graphicFrame macro="">
      <xdr:nvGraphicFramePr>
        <xdr:cNvPr id="12" name="Chart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555584</xdr:colOff>
      <xdr:row>60</xdr:row>
      <xdr:rowOff>49347</xdr:rowOff>
    </xdr:from>
    <xdr:to>
      <xdr:col>8</xdr:col>
      <xdr:colOff>809660</xdr:colOff>
      <xdr:row>78</xdr:row>
      <xdr:rowOff>40347</xdr:rowOff>
    </xdr:to>
    <xdr:graphicFrame macro="">
      <xdr:nvGraphicFramePr>
        <xdr:cNvPr id="13" name="Chart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9</xdr:col>
      <xdr:colOff>0</xdr:colOff>
      <xdr:row>42</xdr:row>
      <xdr:rowOff>0</xdr:rowOff>
    </xdr:from>
    <xdr:to>
      <xdr:col>19</xdr:col>
      <xdr:colOff>136845</xdr:colOff>
      <xdr:row>59</xdr:row>
      <xdr:rowOff>181500</xdr:rowOff>
    </xdr:to>
    <xdr:graphicFrame macro="">
      <xdr:nvGraphicFramePr>
        <xdr:cNvPr id="7" name="Chart3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9</xdr:col>
      <xdr:colOff>21981</xdr:colOff>
      <xdr:row>60</xdr:row>
      <xdr:rowOff>14653</xdr:rowOff>
    </xdr:from>
    <xdr:to>
      <xdr:col>19</xdr:col>
      <xdr:colOff>158826</xdr:colOff>
      <xdr:row>78</xdr:row>
      <xdr:rowOff>5653</xdr:rowOff>
    </xdr:to>
    <xdr:graphicFrame macro="">
      <xdr:nvGraphicFramePr>
        <xdr:cNvPr id="10" name="Chart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 editAs="oneCell">
    <xdr:from>
      <xdr:col>0</xdr:col>
      <xdr:colOff>0</xdr:colOff>
      <xdr:row>0</xdr:row>
      <xdr:rowOff>157370</xdr:rowOff>
    </xdr:from>
    <xdr:to>
      <xdr:col>3</xdr:col>
      <xdr:colOff>190899</xdr:colOff>
      <xdr:row>0</xdr:row>
      <xdr:rowOff>786108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820B0F6-0913-4F8B-91DA-6196EAA4FE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0" y="157370"/>
          <a:ext cx="2857899" cy="628738"/>
        </a:xfrm>
        <a:prstGeom prst="rect">
          <a:avLst/>
        </a:prstGeom>
      </xdr:spPr>
    </xdr:pic>
    <xdr:clientData/>
  </xdr:twoCellAnchor>
  <xdr:twoCellAnchor editAs="oneCell">
    <xdr:from>
      <xdr:col>3</xdr:col>
      <xdr:colOff>49440</xdr:colOff>
      <xdr:row>3</xdr:row>
      <xdr:rowOff>190501</xdr:rowOff>
    </xdr:from>
    <xdr:to>
      <xdr:col>12</xdr:col>
      <xdr:colOff>73903</xdr:colOff>
      <xdr:row>21</xdr:row>
      <xdr:rowOff>132522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34864FFD-021A-4FD7-881A-2E57E6ED88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716440" y="2054088"/>
          <a:ext cx="7594767" cy="34786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onsemi.com/pub/collateral/loop%20stabilization%20for%20106x.pdf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113"/>
  <sheetViews>
    <sheetView tabSelected="1" zoomScale="115" zoomScaleNormal="115" workbookViewId="0">
      <selection activeCell="M2" sqref="M2"/>
    </sheetView>
  </sheetViews>
  <sheetFormatPr defaultRowHeight="15" x14ac:dyDescent="0.25"/>
  <cols>
    <col min="1" max="1" width="18.28515625" customWidth="1"/>
    <col min="2" max="2" width="9.140625" customWidth="1"/>
    <col min="3" max="3" width="12.5703125" customWidth="1"/>
    <col min="4" max="4" width="11.28515625" customWidth="1"/>
    <col min="5" max="5" width="13.7109375" customWidth="1"/>
    <col min="6" max="6" width="13.28515625" customWidth="1"/>
    <col min="7" max="7" width="12" customWidth="1"/>
    <col min="8" max="8" width="14" customWidth="1"/>
    <col min="9" max="9" width="14.5703125" customWidth="1"/>
    <col min="10" max="10" width="14.140625" customWidth="1"/>
    <col min="12" max="12" width="11.28515625" customWidth="1"/>
    <col min="13" max="13" width="11" customWidth="1"/>
    <col min="14" max="14" width="12.28515625" bestFit="1" customWidth="1"/>
    <col min="16" max="16" width="9.28515625" customWidth="1"/>
    <col min="17" max="17" width="11.28515625" bestFit="1" customWidth="1"/>
  </cols>
  <sheetData>
    <row r="1" spans="1:16" ht="75.75" customHeight="1" x14ac:dyDescent="0.25">
      <c r="F1" s="40" t="s">
        <v>85</v>
      </c>
      <c r="G1" s="40"/>
      <c r="H1" s="40"/>
      <c r="I1" s="40"/>
      <c r="J1" s="40"/>
      <c r="K1" s="40"/>
      <c r="L1" s="40"/>
      <c r="M1" s="18" t="s">
        <v>87</v>
      </c>
    </row>
    <row r="2" spans="1:16" ht="29.25" customHeight="1" x14ac:dyDescent="0.25">
      <c r="A2" s="37" t="s">
        <v>86</v>
      </c>
      <c r="F2" s="17"/>
    </row>
    <row r="3" spans="1:16" ht="42" customHeight="1" x14ac:dyDescent="0.25">
      <c r="A3" s="42"/>
      <c r="B3" s="42"/>
      <c r="C3" s="38" t="s">
        <v>55</v>
      </c>
      <c r="D3" s="38"/>
      <c r="E3" s="38"/>
      <c r="F3" s="39" t="s">
        <v>54</v>
      </c>
      <c r="G3" s="39"/>
      <c r="H3" s="39"/>
    </row>
    <row r="4" spans="1:16" ht="23.25" customHeight="1" x14ac:dyDescent="0.25">
      <c r="A4" s="41" t="s">
        <v>83</v>
      </c>
      <c r="B4" s="41"/>
    </row>
    <row r="5" spans="1:16" x14ac:dyDescent="0.25">
      <c r="A5" t="s">
        <v>44</v>
      </c>
      <c r="B5" s="13">
        <v>60</v>
      </c>
    </row>
    <row r="6" spans="1:16" x14ac:dyDescent="0.25">
      <c r="A6" t="s">
        <v>69</v>
      </c>
      <c r="B6" s="11">
        <v>1</v>
      </c>
      <c r="P6" s="21"/>
    </row>
    <row r="7" spans="1:16" x14ac:dyDescent="0.25">
      <c r="A7" t="s">
        <v>73</v>
      </c>
      <c r="B7" s="1">
        <v>30</v>
      </c>
      <c r="P7" s="21"/>
    </row>
    <row r="8" spans="1:16" ht="15" customHeight="1" x14ac:dyDescent="0.25">
      <c r="A8" t="s">
        <v>45</v>
      </c>
      <c r="B8" s="1">
        <v>125</v>
      </c>
      <c r="P8" s="21"/>
    </row>
    <row r="9" spans="1:16" x14ac:dyDescent="0.25">
      <c r="A9" t="s">
        <v>46</v>
      </c>
      <c r="B9" s="1">
        <v>14</v>
      </c>
    </row>
    <row r="10" spans="1:16" x14ac:dyDescent="0.25">
      <c r="A10" t="s">
        <v>70</v>
      </c>
      <c r="B10" s="1">
        <v>0.2</v>
      </c>
      <c r="O10" s="20"/>
    </row>
    <row r="11" spans="1:16" x14ac:dyDescent="0.25">
      <c r="A11" t="s">
        <v>59</v>
      </c>
      <c r="B11" s="12">
        <v>20</v>
      </c>
      <c r="O11" s="20"/>
    </row>
    <row r="12" spans="1:16" x14ac:dyDescent="0.25">
      <c r="A12" t="s">
        <v>71</v>
      </c>
      <c r="B12" s="10">
        <f>VLOOKUP(A4,Sheet1!N4:O9,2,FALSE)</f>
        <v>15.6</v>
      </c>
      <c r="O12" s="20"/>
    </row>
    <row r="13" spans="1:16" x14ac:dyDescent="0.25">
      <c r="A13" t="s">
        <v>60</v>
      </c>
      <c r="B13" s="11">
        <v>3</v>
      </c>
      <c r="O13" s="20"/>
    </row>
    <row r="14" spans="1:16" x14ac:dyDescent="0.25">
      <c r="A14" t="s">
        <v>61</v>
      </c>
      <c r="B14" s="11">
        <v>10</v>
      </c>
    </row>
    <row r="15" spans="1:16" x14ac:dyDescent="0.25">
      <c r="A15" t="s">
        <v>47</v>
      </c>
      <c r="B15" s="1">
        <v>0.3</v>
      </c>
    </row>
    <row r="16" spans="1:16" x14ac:dyDescent="0.25">
      <c r="A16" t="s">
        <v>51</v>
      </c>
      <c r="B16" s="1">
        <v>10</v>
      </c>
    </row>
    <row r="17" spans="1:3" x14ac:dyDescent="0.25">
      <c r="A17" t="s">
        <v>52</v>
      </c>
      <c r="B17" s="1">
        <v>1</v>
      </c>
    </row>
    <row r="18" spans="1:3" x14ac:dyDescent="0.25">
      <c r="A18" s="6" t="s">
        <v>62</v>
      </c>
      <c r="B18" s="19">
        <f>B16/(B17)</f>
        <v>10</v>
      </c>
    </row>
    <row r="19" spans="1:3" x14ac:dyDescent="0.25">
      <c r="A19" s="6" t="s">
        <v>74</v>
      </c>
      <c r="B19" s="1">
        <v>8</v>
      </c>
    </row>
    <row r="20" spans="1:3" x14ac:dyDescent="0.25">
      <c r="A20" s="6" t="s">
        <v>63</v>
      </c>
      <c r="B20" s="1">
        <v>10</v>
      </c>
    </row>
    <row r="21" spans="1:3" x14ac:dyDescent="0.25">
      <c r="A21" s="6" t="s">
        <v>72</v>
      </c>
      <c r="B21" s="1">
        <v>1</v>
      </c>
    </row>
    <row r="22" spans="1:3" x14ac:dyDescent="0.25">
      <c r="A22" s="6" t="s">
        <v>64</v>
      </c>
      <c r="B22" s="15">
        <v>10</v>
      </c>
    </row>
    <row r="23" spans="1:3" x14ac:dyDescent="0.25">
      <c r="A23" s="6" t="s">
        <v>65</v>
      </c>
      <c r="B23" s="9">
        <v>0.45</v>
      </c>
    </row>
    <row r="25" spans="1:3" x14ac:dyDescent="0.25">
      <c r="A25" s="7" t="s">
        <v>48</v>
      </c>
      <c r="B25" s="13">
        <v>10</v>
      </c>
    </row>
    <row r="26" spans="1:3" x14ac:dyDescent="0.25">
      <c r="A26" t="s">
        <v>49</v>
      </c>
      <c r="B26" s="13">
        <v>10</v>
      </c>
      <c r="C26" s="2"/>
    </row>
    <row r="28" spans="1:3" x14ac:dyDescent="0.25">
      <c r="A28" t="s">
        <v>50</v>
      </c>
      <c r="B28" s="1">
        <v>1000</v>
      </c>
    </row>
    <row r="29" spans="1:3" x14ac:dyDescent="0.25">
      <c r="A29" t="s">
        <v>29</v>
      </c>
      <c r="B29" s="1">
        <v>70</v>
      </c>
    </row>
    <row r="30" spans="1:3" x14ac:dyDescent="0.25">
      <c r="A30" t="s">
        <v>30</v>
      </c>
      <c r="B30" s="16">
        <f>Sheet1!O75</f>
        <v>-95.913919380541884</v>
      </c>
    </row>
    <row r="31" spans="1:3" x14ac:dyDescent="0.25">
      <c r="A31" t="s">
        <v>53</v>
      </c>
      <c r="B31" s="10">
        <f>Sheet1!N75</f>
        <v>2.9668135114513792</v>
      </c>
    </row>
    <row r="33" spans="1:10" x14ac:dyDescent="0.25">
      <c r="A33" t="s">
        <v>66</v>
      </c>
      <c r="B33" s="14">
        <f>(Sheet1!B2*Sheet1!F2/(Sheet1!F2-Sheet1!E2)*(B13*1000+B14*1000)/(B13*Sheet1!L4)*(SQRT(1+(B28/Sheet1!F2)^2))/(SQRT(1+(Sheet1!E2/B28)^2)))/1000</f>
        <v>1.5636212591056404</v>
      </c>
      <c r="G33" s="2"/>
      <c r="J33" s="2"/>
    </row>
    <row r="34" spans="1:10" x14ac:dyDescent="0.25">
      <c r="A34" t="s">
        <v>67</v>
      </c>
      <c r="B34" s="10">
        <f>(1/(2*PI()*Sheet1!E2*B33*1000))*1000000000</f>
        <v>823.86457303879763</v>
      </c>
      <c r="G34" s="2"/>
      <c r="J34" s="2"/>
    </row>
    <row r="35" spans="1:10" x14ac:dyDescent="0.25">
      <c r="A35" t="s">
        <v>68</v>
      </c>
      <c r="B35" s="10">
        <f>((B13*Sheet1!L4)/(2*PI()*Sheet1!F2*Sheet1!B2*(B13*1000+B14*1000))*(SQRT(1+(Sheet1!E2/B28)^2))/(SQRT(1+(B28/Sheet1!F2)^2)))*1000000000</f>
        <v>12.770310068710348</v>
      </c>
      <c r="E35" s="2"/>
      <c r="F35" s="2"/>
      <c r="G35" s="2"/>
      <c r="H35" s="2"/>
      <c r="J35" s="2"/>
    </row>
    <row r="37" spans="1:10" x14ac:dyDescent="0.25">
      <c r="A37" t="s">
        <v>66</v>
      </c>
      <c r="B37" s="11">
        <v>1.56</v>
      </c>
    </row>
    <row r="38" spans="1:10" x14ac:dyDescent="0.25">
      <c r="A38" t="s">
        <v>67</v>
      </c>
      <c r="B38" s="11">
        <v>829</v>
      </c>
    </row>
    <row r="39" spans="1:10" x14ac:dyDescent="0.25">
      <c r="A39" t="s">
        <v>68</v>
      </c>
      <c r="B39" s="11">
        <v>12.8</v>
      </c>
    </row>
    <row r="101" spans="1:12" x14ac:dyDescent="0.25">
      <c r="B101" s="8"/>
      <c r="K101" s="5"/>
    </row>
    <row r="103" spans="1:12" x14ac:dyDescent="0.25">
      <c r="B103" s="4"/>
      <c r="D103" s="2"/>
    </row>
    <row r="104" spans="1:12" x14ac:dyDescent="0.25">
      <c r="B104" s="4"/>
    </row>
    <row r="105" spans="1:12" x14ac:dyDescent="0.25">
      <c r="B105" s="4"/>
    </row>
    <row r="106" spans="1:12" x14ac:dyDescent="0.25">
      <c r="B106" s="4"/>
      <c r="C106" s="2"/>
      <c r="F106" s="2"/>
      <c r="I106" s="2"/>
      <c r="L106" s="2"/>
    </row>
    <row r="107" spans="1:12" x14ac:dyDescent="0.25">
      <c r="B107" s="4"/>
      <c r="H107" s="3"/>
    </row>
    <row r="109" spans="1:12" x14ac:dyDescent="0.25">
      <c r="A109" s="2"/>
    </row>
    <row r="111" spans="1:12" x14ac:dyDescent="0.25">
      <c r="A111" s="2"/>
    </row>
    <row r="113" spans="1:1" x14ac:dyDescent="0.25">
      <c r="A113" s="2"/>
    </row>
  </sheetData>
  <mergeCells count="5">
    <mergeCell ref="C3:E3"/>
    <mergeCell ref="F3:H3"/>
    <mergeCell ref="F1:L1"/>
    <mergeCell ref="A4:B4"/>
    <mergeCell ref="A3:B3"/>
  </mergeCells>
  <dataValidations count="1">
    <dataValidation type="list" allowBlank="1" showInputMessage="1" showErrorMessage="1" sqref="N5" xr:uid="{3C582F0A-3003-4C92-B4D9-526F4E69A145}">
      <formula1>$P$6:$P$8</formula1>
    </dataValidation>
  </dataValidations>
  <hyperlinks>
    <hyperlink ref="A2" r:id="rId1" display="This excel tool is to help calculate equations from document on onsemi web" xr:uid="{00000000-0004-0000-0000-000000000000}"/>
  </hyperlinks>
  <pageMargins left="0.7" right="0.7" top="0.75" bottom="0.75" header="0.3" footer="0.3"/>
  <pageSetup paperSize="9" orientation="portrait" r:id="rId2"/>
  <drawing r:id="rId3"/>
  <legacyDrawing r:id="rId4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567B2FF-8315-4650-9D94-C9B2E144C066}">
          <x14:formula1>
            <xm:f>Sheet1!$N$4:$N$9</xm:f>
          </x14:formula1>
          <xm:sqref>A4:B4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B82"/>
  <sheetViews>
    <sheetView zoomScale="115" zoomScaleNormal="115" workbookViewId="0">
      <selection activeCell="A2" sqref="A2"/>
    </sheetView>
  </sheetViews>
  <sheetFormatPr defaultRowHeight="15" x14ac:dyDescent="0.25"/>
  <cols>
    <col min="1" max="1" width="9.140625" style="6"/>
    <col min="2" max="2" width="13.140625" style="6" customWidth="1"/>
    <col min="3" max="3" width="18.5703125" style="6" bestFit="1" customWidth="1"/>
    <col min="4" max="4" width="12" style="6" bestFit="1" customWidth="1"/>
    <col min="5" max="9" width="9.140625" style="6"/>
    <col min="10" max="10" width="16.7109375" style="6" customWidth="1"/>
    <col min="11" max="13" width="9.140625" style="6"/>
    <col min="14" max="14" width="20" style="6" customWidth="1"/>
    <col min="15" max="15" width="15.7109375" style="6" customWidth="1"/>
    <col min="16" max="16384" width="9.140625" style="6"/>
  </cols>
  <sheetData>
    <row r="1" spans="1:28" x14ac:dyDescent="0.25">
      <c r="A1" s="22" t="s">
        <v>27</v>
      </c>
      <c r="B1" s="23" t="s">
        <v>28</v>
      </c>
      <c r="C1" s="23" t="s">
        <v>31</v>
      </c>
      <c r="D1" s="23" t="s">
        <v>32</v>
      </c>
      <c r="E1" s="23" t="s">
        <v>33</v>
      </c>
      <c r="F1" s="23" t="s">
        <v>34</v>
      </c>
      <c r="G1" s="23"/>
      <c r="H1" s="23"/>
      <c r="I1" s="23"/>
      <c r="J1" s="23"/>
      <c r="K1" s="23"/>
      <c r="L1" s="23" t="s">
        <v>75</v>
      </c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</row>
    <row r="2" spans="1:28" x14ac:dyDescent="0.25">
      <c r="A2" s="22"/>
      <c r="B2" s="23">
        <f>POWER(10,-'FB analysis'!B31/20)</f>
        <v>0.71065583200090821</v>
      </c>
      <c r="C2" s="23">
        <f>'FB analysis'!B29-('FB analysis'!B30)-90</f>
        <v>75.91391938054187</v>
      </c>
      <c r="D2" s="23">
        <f>TAN((C2/2+45)/(180/PI()))</f>
        <v>8.0940757226977702</v>
      </c>
      <c r="E2" s="23">
        <f>'FB analysis'!B28/D2</f>
        <v>123.54715155379077</v>
      </c>
      <c r="F2" s="23">
        <f>D2*'FB analysis'!B28</f>
        <v>8094.0757226977703</v>
      </c>
      <c r="G2" s="23"/>
      <c r="H2" s="23" t="s">
        <v>56</v>
      </c>
      <c r="I2" s="23"/>
      <c r="J2" s="23"/>
      <c r="K2" s="23"/>
      <c r="L2" s="23">
        <v>7.8E-2</v>
      </c>
      <c r="M2" s="24"/>
      <c r="N2" s="24"/>
      <c r="O2" s="25"/>
      <c r="P2" s="25"/>
      <c r="Q2" s="25"/>
      <c r="R2" s="25"/>
      <c r="S2" s="25"/>
      <c r="T2" s="25"/>
      <c r="U2" s="23"/>
      <c r="V2" s="23"/>
      <c r="W2" s="23"/>
      <c r="X2" s="23"/>
      <c r="Y2" s="23"/>
      <c r="Z2" s="23"/>
      <c r="AA2" s="23"/>
      <c r="AB2" s="23"/>
    </row>
    <row r="3" spans="1:28" x14ac:dyDescent="0.25">
      <c r="A3" s="22"/>
      <c r="B3" s="23" t="s">
        <v>35</v>
      </c>
      <c r="C3" s="23" t="s">
        <v>36</v>
      </c>
      <c r="D3" s="23" t="s">
        <v>37</v>
      </c>
      <c r="E3" s="23"/>
      <c r="F3" s="23"/>
      <c r="G3" s="23"/>
      <c r="H3" s="23" t="s">
        <v>35</v>
      </c>
      <c r="I3" s="23" t="s">
        <v>36</v>
      </c>
      <c r="J3" s="23" t="s">
        <v>37</v>
      </c>
      <c r="K3" s="23"/>
      <c r="L3" s="23" t="s">
        <v>78</v>
      </c>
      <c r="M3" s="23"/>
      <c r="N3" s="23" t="s">
        <v>76</v>
      </c>
      <c r="O3" s="23" t="s">
        <v>77</v>
      </c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</row>
    <row r="4" spans="1:28" x14ac:dyDescent="0.25">
      <c r="A4" s="22"/>
      <c r="B4" s="26">
        <f>1/('FB analysis'!B33*1000*'FB analysis'!B34*0.000000001)</f>
        <v>776.26964738666754</v>
      </c>
      <c r="C4" s="26">
        <f>1/('FB analysis'!B33*1000*('FB analysis'!B34*0.000000001*'FB analysis'!B35*0.000000001/('FB analysis'!B34*0.000000001+'FB analysis'!B35*0.000000001)))</f>
        <v>50856.577656053611</v>
      </c>
      <c r="D4" s="26">
        <f>('FB analysis'!B33*1000*'FB analysis'!B34*0.000000001)/('FB analysis'!B34*0.000000001+'FB analysis'!B35*0.000000001)*(L4*'FB analysis'!B13)/('FB analysis'!B13*1000+'FB analysis'!B14*1000)</f>
        <v>0.71065583200090832</v>
      </c>
      <c r="E4" s="23"/>
      <c r="F4" s="23"/>
      <c r="G4" s="23"/>
      <c r="H4" s="26">
        <f>1/('FB analysis'!B37*1000*'FB analysis'!B38*0.000000001)</f>
        <v>773.25167795614107</v>
      </c>
      <c r="I4" s="26">
        <f>1/('FB analysis'!B37*1000*('FB analysis'!B38*0.000000001*'FB analysis'!B39*0.000000001/('FB analysis'!B38*0.000000001+'FB analysis'!B39*0.000000001)))</f>
        <v>50853.379883084337</v>
      </c>
      <c r="J4" s="26">
        <f>('FB analysis'!B37*1000*'FB analysis'!B38*0.000000001)/('FB analysis'!B38*0.000000001+'FB analysis'!B39*0.000000001)*(L4*'FB analysis'!B13)/('FB analysis'!B13*1000+'FB analysis'!B14*1000)</f>
        <v>0.70905203136136852</v>
      </c>
      <c r="K4" s="23"/>
      <c r="L4" s="23">
        <v>2</v>
      </c>
      <c r="M4" s="23"/>
      <c r="N4" s="27" t="s">
        <v>79</v>
      </c>
      <c r="O4" s="23">
        <v>2.8</v>
      </c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</row>
    <row r="5" spans="1:28" x14ac:dyDescent="0.25">
      <c r="A5" s="22"/>
      <c r="B5" s="28" t="s">
        <v>35</v>
      </c>
      <c r="C5" s="28" t="s">
        <v>36</v>
      </c>
      <c r="D5" s="28" t="s">
        <v>37</v>
      </c>
      <c r="E5" s="23"/>
      <c r="F5" s="23"/>
      <c r="G5" s="23"/>
      <c r="H5" s="28" t="s">
        <v>35</v>
      </c>
      <c r="I5" s="28" t="s">
        <v>36</v>
      </c>
      <c r="J5" s="28" t="s">
        <v>37</v>
      </c>
      <c r="K5" s="23"/>
      <c r="L5" s="23"/>
      <c r="M5" s="23"/>
      <c r="N5" s="27" t="s">
        <v>80</v>
      </c>
      <c r="O5" s="23">
        <v>4.7</v>
      </c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</row>
    <row r="6" spans="1:28" x14ac:dyDescent="0.25">
      <c r="A6" s="22"/>
      <c r="B6" s="23" t="str">
        <f>COMPLEX(B4,0)</f>
        <v>776,269647386668</v>
      </c>
      <c r="C6" s="23" t="str">
        <f>COMPLEX(C4,0)</f>
        <v>50856,5776560536</v>
      </c>
      <c r="D6" s="23" t="str">
        <f>COMPLEX(D4,0)</f>
        <v>0,710655832000908</v>
      </c>
      <c r="E6" s="23"/>
      <c r="F6" s="23"/>
      <c r="G6" s="23"/>
      <c r="H6" s="23" t="str">
        <f>COMPLEX(H4,0)</f>
        <v>773,251677956141</v>
      </c>
      <c r="I6" s="23" t="str">
        <f>COMPLEX(I4,0)</f>
        <v>50853,3798830843</v>
      </c>
      <c r="J6" s="23" t="str">
        <f>COMPLEX(J4,0)</f>
        <v>0,709052031361369</v>
      </c>
      <c r="K6" s="23"/>
      <c r="L6" s="23"/>
      <c r="M6" s="23"/>
      <c r="N6" s="27" t="s">
        <v>81</v>
      </c>
      <c r="O6" s="23">
        <v>8.4</v>
      </c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</row>
    <row r="7" spans="1:28" x14ac:dyDescent="0.25">
      <c r="A7" s="22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7" t="s">
        <v>82</v>
      </c>
      <c r="O7" s="23">
        <v>14</v>
      </c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</row>
    <row r="8" spans="1:28" x14ac:dyDescent="0.25">
      <c r="A8" s="23"/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7" t="s">
        <v>83</v>
      </c>
      <c r="O8" s="23">
        <v>15.6</v>
      </c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</row>
    <row r="9" spans="1:28" x14ac:dyDescent="0.25">
      <c r="A9" s="22" t="s">
        <v>25</v>
      </c>
      <c r="B9" s="23" t="s">
        <v>18</v>
      </c>
      <c r="C9" s="23" t="s">
        <v>19</v>
      </c>
      <c r="D9" s="23" t="s">
        <v>20</v>
      </c>
      <c r="E9" s="23"/>
      <c r="F9" s="23"/>
      <c r="G9" s="23"/>
      <c r="H9" s="23"/>
      <c r="I9" s="23"/>
      <c r="J9" s="23"/>
      <c r="K9" s="23"/>
      <c r="L9" s="23"/>
      <c r="M9" s="23"/>
      <c r="N9" s="27" t="s">
        <v>84</v>
      </c>
      <c r="O9" s="23">
        <v>26</v>
      </c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</row>
    <row r="10" spans="1:28" x14ac:dyDescent="0.25">
      <c r="A10" s="22"/>
      <c r="B10" s="23">
        <f>('FB analysis'!B18*1000+'FB analysis'!B19)/(('FB analysis'!B20+'FB analysis'!B21)+'FB analysis'!B19+'FB analysis'!B18*1000)</f>
        <v>0.99890208603653063</v>
      </c>
      <c r="C10" s="23">
        <f>1/('FB analysis'!B22*0.000001*('FB analysis'!B23+('FB analysis'!B19*'FB analysis'!B18*1000/('FB analysis'!B19+'FB analysis'!B18*1000))))</f>
        <v>11843.282416370428</v>
      </c>
      <c r="D10" s="23">
        <f>1/('FB analysis'!B22*0.000001*('FB analysis'!B23+(('FB analysis'!B19+'FB analysis'!B20+'FB analysis'!B21)*'FB analysis'!B18*1000/(('FB analysis'!B19+'FB analysis'!B20+'FB analysis'!B21)+'FB analysis'!B18*1000))))</f>
        <v>5150.9303832659298</v>
      </c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</row>
    <row r="11" spans="1:28" x14ac:dyDescent="0.25">
      <c r="A11" s="22"/>
      <c r="B11" s="28" t="s">
        <v>18</v>
      </c>
      <c r="C11" s="28" t="s">
        <v>19</v>
      </c>
      <c r="D11" s="28" t="s">
        <v>20</v>
      </c>
      <c r="E11" s="23"/>
      <c r="F11" s="23"/>
      <c r="G11" s="23"/>
      <c r="H11" s="28"/>
      <c r="I11" s="28"/>
      <c r="J11" s="28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</row>
    <row r="12" spans="1:28" x14ac:dyDescent="0.25">
      <c r="A12" s="23"/>
      <c r="B12" s="23" t="str">
        <f>COMPLEX(B10,0)</f>
        <v>0,998902086036531</v>
      </c>
      <c r="C12" s="23" t="str">
        <f>COMPLEX(C10,0)</f>
        <v>11843,2824163704</v>
      </c>
      <c r="D12" s="23" t="str">
        <f>COMPLEX(D10,0)</f>
        <v>5150,93038326593</v>
      </c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</row>
    <row r="13" spans="1:28" x14ac:dyDescent="0.25">
      <c r="A13" s="23"/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</row>
    <row r="14" spans="1:28" x14ac:dyDescent="0.25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</row>
    <row r="15" spans="1:28" x14ac:dyDescent="0.25">
      <c r="A15" s="23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</row>
    <row r="16" spans="1:28" x14ac:dyDescent="0.25">
      <c r="A16" s="23"/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</row>
    <row r="17" spans="1:28" x14ac:dyDescent="0.25">
      <c r="A17" s="22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</row>
    <row r="18" spans="1:28" x14ac:dyDescent="0.25">
      <c r="A18" s="23" t="s">
        <v>26</v>
      </c>
      <c r="B18" s="26" t="s">
        <v>2</v>
      </c>
      <c r="C18" s="23" t="s">
        <v>14</v>
      </c>
      <c r="D18" s="23" t="s">
        <v>3</v>
      </c>
      <c r="E18" s="23" t="s">
        <v>0</v>
      </c>
      <c r="F18" s="23" t="s">
        <v>4</v>
      </c>
      <c r="G18" s="23" t="s">
        <v>15</v>
      </c>
      <c r="H18" s="23" t="s">
        <v>16</v>
      </c>
      <c r="I18" s="23" t="s">
        <v>17</v>
      </c>
      <c r="J18" s="23" t="s">
        <v>5</v>
      </c>
      <c r="K18" s="23" t="s">
        <v>6</v>
      </c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</row>
    <row r="19" spans="1:28" x14ac:dyDescent="0.25">
      <c r="A19" s="23"/>
      <c r="B19" s="29">
        <f>1/('FB analysis'!B5*1000)</f>
        <v>1.6666666666666667E-5</v>
      </c>
      <c r="C19" s="30">
        <f>('FB analysis'!B8-'FB analysis'!B9)/('FB analysis'!B6*0.001)</f>
        <v>111000</v>
      </c>
      <c r="D19" s="30">
        <f>1+('FB analysis'!B12*1000/C19)</f>
        <v>1.1405405405405404</v>
      </c>
      <c r="E19" s="23">
        <f>'FB analysis'!B9/'FB analysis'!B8</f>
        <v>0.112</v>
      </c>
      <c r="F19" s="23">
        <f>(L2*'FB analysis'!B7/'FB analysis'!B15)*1/(1+('FB analysis'!B7*B19/('FB analysis'!B6*0.001))*(D19*(1-E19)-0.5))</f>
        <v>6.2082139446036297</v>
      </c>
      <c r="G19" s="31">
        <f>20*LOG(F19)</f>
        <v>15.859333499280266</v>
      </c>
      <c r="H19" s="26">
        <f>1/('FB analysis'!B10*'FB analysis'!B11*0.000001)</f>
        <v>250000</v>
      </c>
      <c r="I19" s="23">
        <f>(1/('FB analysis'!B7*'FB analysis'!B11*0.000001))+((B19/('FB analysis'!B6*0.001*'FB analysis'!B11*0.000001))*(D19*(1-E19)-0.5))</f>
        <v>2094</v>
      </c>
      <c r="J19" s="30">
        <f>PI()/B19</f>
        <v>188495.55921538759</v>
      </c>
      <c r="K19" s="31">
        <f>1/(PI()*(D19*(1-E19)-0.5))</f>
        <v>0.62072910722268082</v>
      </c>
      <c r="L19" s="23">
        <v>1</v>
      </c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</row>
    <row r="20" spans="1:28" x14ac:dyDescent="0.25">
      <c r="A20" s="23"/>
      <c r="B20" s="32" t="s">
        <v>2</v>
      </c>
      <c r="C20" s="28" t="s">
        <v>14</v>
      </c>
      <c r="D20" s="28" t="s">
        <v>3</v>
      </c>
      <c r="E20" s="28" t="s">
        <v>0</v>
      </c>
      <c r="F20" s="28" t="s">
        <v>4</v>
      </c>
      <c r="G20" s="28" t="s">
        <v>15</v>
      </c>
      <c r="H20" s="28" t="s">
        <v>16</v>
      </c>
      <c r="I20" s="28" t="s">
        <v>17</v>
      </c>
      <c r="J20" s="28" t="s">
        <v>5</v>
      </c>
      <c r="K20" s="28" t="s">
        <v>6</v>
      </c>
      <c r="L20" s="28">
        <v>1</v>
      </c>
      <c r="M20" s="23"/>
      <c r="N20" s="2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</row>
    <row r="21" spans="1:28" x14ac:dyDescent="0.25">
      <c r="A21" s="23"/>
      <c r="B21" s="26" t="str">
        <f t="shared" ref="B21:L21" si="0">COMPLEX(B19,0)</f>
        <v>0,0000166666666666667</v>
      </c>
      <c r="C21" s="23" t="str">
        <f t="shared" si="0"/>
        <v>111000</v>
      </c>
      <c r="D21" s="23" t="str">
        <f t="shared" si="0"/>
        <v>1,14054054054054</v>
      </c>
      <c r="E21" s="23" t="str">
        <f t="shared" si="0"/>
        <v>0,112</v>
      </c>
      <c r="F21" s="23" t="str">
        <f t="shared" si="0"/>
        <v>6,20821394460363</v>
      </c>
      <c r="G21" s="23" t="str">
        <f t="shared" si="0"/>
        <v>15,8593334992803</v>
      </c>
      <c r="H21" s="23" t="str">
        <f t="shared" si="0"/>
        <v>250000</v>
      </c>
      <c r="I21" s="23" t="str">
        <f t="shared" si="0"/>
        <v>2094</v>
      </c>
      <c r="J21" s="34" t="str">
        <f t="shared" si="0"/>
        <v>188495,559215388</v>
      </c>
      <c r="K21" s="23" t="str">
        <f t="shared" si="0"/>
        <v>0,620729107222681</v>
      </c>
      <c r="L21" s="23" t="str">
        <f t="shared" si="0"/>
        <v>1</v>
      </c>
      <c r="M21" s="23"/>
      <c r="N21" s="2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  <c r="AA21" s="33"/>
      <c r="AB21" s="33"/>
    </row>
    <row r="22" spans="1:28" x14ac:dyDescent="0.25">
      <c r="A22" s="23"/>
      <c r="B22" s="26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33"/>
      <c r="P22" s="43" t="s">
        <v>57</v>
      </c>
      <c r="Q22" s="43"/>
      <c r="R22" s="43"/>
      <c r="S22" s="43"/>
      <c r="T22" s="43"/>
      <c r="U22" s="43"/>
      <c r="V22" s="43" t="s">
        <v>58</v>
      </c>
      <c r="W22" s="43"/>
      <c r="X22" s="43"/>
      <c r="Y22" s="43"/>
      <c r="Z22" s="43"/>
      <c r="AA22" s="43"/>
      <c r="AB22" s="33"/>
    </row>
    <row r="23" spans="1:28" x14ac:dyDescent="0.25">
      <c r="A23" s="23"/>
      <c r="B23" s="23" t="s">
        <v>1</v>
      </c>
      <c r="C23" s="35" t="s">
        <v>7</v>
      </c>
      <c r="D23" s="23" t="s">
        <v>8</v>
      </c>
      <c r="E23" s="23" t="s">
        <v>9</v>
      </c>
      <c r="F23" s="23" t="s">
        <v>10</v>
      </c>
      <c r="G23" s="23" t="s">
        <v>11</v>
      </c>
      <c r="H23" s="23" t="s">
        <v>12</v>
      </c>
      <c r="I23" s="23" t="s">
        <v>13</v>
      </c>
      <c r="J23" s="23" t="s">
        <v>21</v>
      </c>
      <c r="K23" s="23" t="s">
        <v>22</v>
      </c>
      <c r="L23" s="23" t="s">
        <v>13</v>
      </c>
      <c r="M23" s="23" t="s">
        <v>23</v>
      </c>
      <c r="N23" s="23" t="s">
        <v>24</v>
      </c>
      <c r="O23" s="33" t="s">
        <v>43</v>
      </c>
      <c r="P23" s="33" t="s">
        <v>38</v>
      </c>
      <c r="Q23" s="33" t="s">
        <v>39</v>
      </c>
      <c r="R23" s="33" t="s">
        <v>13</v>
      </c>
      <c r="S23" s="33" t="s">
        <v>40</v>
      </c>
      <c r="T23" s="33" t="s">
        <v>41</v>
      </c>
      <c r="U23" s="33" t="s">
        <v>42</v>
      </c>
      <c r="V23" s="33" t="s">
        <v>38</v>
      </c>
      <c r="W23" s="33" t="s">
        <v>39</v>
      </c>
      <c r="X23" s="33" t="s">
        <v>13</v>
      </c>
      <c r="Y23" s="33" t="s">
        <v>40</v>
      </c>
      <c r="Z23" s="33" t="s">
        <v>41</v>
      </c>
      <c r="AA23" s="33" t="s">
        <v>42</v>
      </c>
      <c r="AB23" s="33"/>
    </row>
    <row r="24" spans="1:28" x14ac:dyDescent="0.25">
      <c r="A24" s="23">
        <v>0</v>
      </c>
      <c r="B24" s="23">
        <f>EXP(((A24)*((LN('FB analysis'!$B$26*1000)-LN('FB analysis'!$B$25))/50))+LN('FB analysis'!$B$25))</f>
        <v>10.000000000000002</v>
      </c>
      <c r="C24" s="36" t="str">
        <f t="shared" ref="C24:C55" si="1">COMPLEX(0,(2*PI()*B24))</f>
        <v>62,8318530717959i</v>
      </c>
      <c r="D24" s="23" t="str">
        <f t="shared" ref="D24:D55" si="2">IMSUM(L$21,IMDIV(C24,H$21))</f>
        <v>1+0,000251327412287184i</v>
      </c>
      <c r="E24" s="23" t="str">
        <f t="shared" ref="E24:E55" si="3">IMSUM(L$21,IMDIV(C24,I$21))</f>
        <v>1+0,0300056604927392i</v>
      </c>
      <c r="F24" s="23" t="str">
        <f>IMDIV(C24,IMPRODUCT(J$21,K$21))</f>
        <v>0,000537002904253613i</v>
      </c>
      <c r="G24" s="23" t="str">
        <f t="shared" ref="G24:G55" si="4">IMPRODUCT(IMPRODUCT(F$21,IMDIV(D24,E24)),IMDIV(L$21,IMSUM(L$21,F24,IMPOWER(IMDIV(C24,J$21),2))))</f>
        <v>6,20257604072037-0,187885925487159i</v>
      </c>
      <c r="H24" s="23">
        <f t="shared" ref="H24:H55" si="5">20*LOG((IMABS(G24)))</f>
        <v>15.855425120014964</v>
      </c>
      <c r="I24" s="23">
        <f t="shared" ref="I24:I55" si="6">IMARGUMENT(G24)*180/PI()</f>
        <v>-1.7350500330810763</v>
      </c>
      <c r="J24" s="23" t="str">
        <f>IMPRODUCT(Sheet1!$B$12,IMDIV(IMSUM($L$21,IMDIV(C24,Sheet1!$C$12)),IMSUM($L$21,IMDIV(C24,Sheet1!$D$12))))</f>
        <v>0,998818110386872-0,00688429043763908i</v>
      </c>
      <c r="K24" s="23">
        <f t="shared" ref="K24:K55" si="7">20*LOG((IMABS(J24)))</f>
        <v>-1.0065524374811664E-2</v>
      </c>
      <c r="L24" s="23">
        <f t="shared" ref="L24:L55" si="8">IMARGUMENT(J24)*180/PI()</f>
        <v>-0.39490127084778887</v>
      </c>
      <c r="M24" s="23" t="str">
        <f t="shared" ref="M24:M55" si="9">IMPRODUCT(G24,J24)</f>
        <v>6,19395181924301-0,230364199989233i</v>
      </c>
      <c r="N24" s="23">
        <f t="shared" ref="N24:N55" si="10">20*LOG((IMABS(M24)))</f>
        <v>15.845359595640156</v>
      </c>
      <c r="O24" s="23">
        <f t="shared" ref="O24:O55" si="11">IMARGUMENT(M24)*180/PI()</f>
        <v>-2.1299513039288618</v>
      </c>
      <c r="P24" s="23" t="str">
        <f>IMPRODUCT(-Sheet1!$D$6,IMDIV(IMSUM(COMPLEX(1,0),IMDIV(Sheet1!$B$6,C24)),IMSUM(COMPLEX(1,0),IMDIV(C24,Sheet1!$C$6))))</f>
        <v>-0,6998073852223+8,78081496997096i</v>
      </c>
      <c r="Q24" s="23">
        <f t="shared" ref="Q24:Q55" si="12">20*LOG((IMABS(P24)))</f>
        <v>18.898194197734078</v>
      </c>
      <c r="R24" s="23">
        <f t="shared" ref="R24:R55" si="13">IMARGUMENT(P24)*180/PI()</f>
        <v>94.556688615185152</v>
      </c>
      <c r="S24" s="23" t="str">
        <f t="shared" ref="S24:S55" si="14">IMPRODUCT(J24,G24,P24)</f>
        <v>-2,31178781100651+54,5491554261312i</v>
      </c>
      <c r="T24" s="23">
        <f t="shared" ref="T24:T55" si="15">20*LOG((IMABS(S24)))</f>
        <v>34.74355379337424</v>
      </c>
      <c r="U24" s="23">
        <f t="shared" ref="U24:U55" si="16">IMARGUMENT(S24)*180/PI()</f>
        <v>92.426737311256289</v>
      </c>
      <c r="V24" s="23" t="str">
        <f>IMPRODUCT(-Sheet1!$J$6,IMDIV(IMSUM(COMPLEX(1,0),IMDIV(Sheet1!$H$6,C24)),IMSUM(COMPLEX(1,0),IMDIV(C24,Sheet1!$I$6))))</f>
        <v>-0,698269466225742+8,72694109991575i</v>
      </c>
      <c r="W24" s="23">
        <f>20*LOG((IMABS(V24)))</f>
        <v>18.844956211731628</v>
      </c>
      <c r="X24" s="23">
        <f>IMARGUMENT(V24)*180/PI()</f>
        <v>94.574666116763581</v>
      </c>
      <c r="Y24" s="23" t="str">
        <f>IMPRODUCT(J24,G24,V24)</f>
        <v>-2,31467262581553+54,2151089892137i</v>
      </c>
      <c r="Z24" s="23">
        <f>20*LOG((IMABS(Y24)))</f>
        <v>34.690315807371775</v>
      </c>
      <c r="AA24" s="23">
        <f>IMARGUMENT(Y24)*180/PI()</f>
        <v>92.444714812834718</v>
      </c>
      <c r="AB24" s="23"/>
    </row>
    <row r="25" spans="1:28" x14ac:dyDescent="0.25">
      <c r="A25" s="23">
        <f t="shared" ref="A25:A56" si="17">A24+1</f>
        <v>1</v>
      </c>
      <c r="B25" s="23">
        <f>EXP(((A25)*((LN('FB analysis'!$B$26*1000)-LN('FB analysis'!$B$25))/50))+LN('FB analysis'!$B$25))</f>
        <v>11.481536214968829</v>
      </c>
      <c r="C25" s="36" t="str">
        <f t="shared" si="1"/>
        <v>72,1406196497425i</v>
      </c>
      <c r="D25" s="23" t="str">
        <f t="shared" si="2"/>
        <v>1+0,00028856247859897i</v>
      </c>
      <c r="E25" s="23" t="str">
        <f t="shared" si="3"/>
        <v>1+0,0344511077601445i</v>
      </c>
      <c r="F25" s="23" t="str">
        <f t="shared" ref="F25:F55" si="18">IMDIV(C25,IMPRODUCT(J$21,K$21))</f>
        <v>0,00061656182927313i</v>
      </c>
      <c r="G25" s="23" t="str">
        <f t="shared" si="4"/>
        <v>6,20078386691062-0,21566016342381i</v>
      </c>
      <c r="H25" s="23">
        <f t="shared" si="5"/>
        <v>15.854181989440681</v>
      </c>
      <c r="I25" s="23">
        <f t="shared" si="6"/>
        <v>-1.9919156815681884</v>
      </c>
      <c r="J25" s="23" t="str">
        <f>IMPRODUCT(Sheet1!$B$12,IMDIV(IMSUM($L$21,IMDIV(C25,Sheet1!$C$12)),IMSUM($L$21,IMDIV(C25,Sheet1!$D$12))))</f>
        <v>0,998791389811735-0,00790384876621374i</v>
      </c>
      <c r="K25" s="23">
        <f t="shared" si="7"/>
        <v>-1.0232247901447349E-2</v>
      </c>
      <c r="L25" s="23">
        <f t="shared" si="8"/>
        <v>-0.45339570227739312</v>
      </c>
      <c r="M25" s="23" t="str">
        <f t="shared" si="9"/>
        <v>6,19158499103724-0,264409572269133i</v>
      </c>
      <c r="N25" s="23">
        <f t="shared" si="10"/>
        <v>15.843949741539227</v>
      </c>
      <c r="O25" s="23">
        <f t="shared" si="11"/>
        <v>-2.4453113838455862</v>
      </c>
      <c r="P25" s="23" t="str">
        <f>IMPRODUCT(-Sheet1!$D$6,IMDIV(IMSUM(COMPLEX(1,0),IMDIV(Sheet1!$B$6,C25)),IMSUM(COMPLEX(1,0),IMDIV(C25,Sheet1!$C$6))))</f>
        <v>-0,699807045267851+7,64800978481271i</v>
      </c>
      <c r="Q25" s="23">
        <f t="shared" si="12"/>
        <v>17.707179011854102</v>
      </c>
      <c r="R25" s="23">
        <f t="shared" si="13"/>
        <v>95.228111324404196</v>
      </c>
      <c r="S25" s="23" t="str">
        <f t="shared" si="14"/>
        <v>-2,31070780219008+47,5383382764626i</v>
      </c>
      <c r="T25" s="23">
        <f t="shared" si="15"/>
        <v>33.551128753393343</v>
      </c>
      <c r="U25" s="23">
        <f t="shared" si="16"/>
        <v>92.782799940558604</v>
      </c>
      <c r="V25" s="23" t="str">
        <f>IMPRODUCT(-Sheet1!$J$6,IMDIV(IMSUM(COMPLEX(1,0),IMDIV(Sheet1!$H$6,C25)),IMSUM(COMPLEX(1,0),IMDIV(C25,Sheet1!$I$6))))</f>
        <v>-0,698269126975727+7,60108709390617i</v>
      </c>
      <c r="W25" s="23">
        <f t="shared" ref="W25:W74" si="19">20*LOG((IMABS(V25)))</f>
        <v>17.654010779870944</v>
      </c>
      <c r="X25" s="23">
        <f t="shared" ref="X25:X74" si="20">IMARGUMENT(V25)*180/PI()</f>
        <v>95.248709413585345</v>
      </c>
      <c r="Y25" s="23" t="str">
        <f t="shared" ref="Y25:Y74" si="21">IMPRODUCT(J25,G25,V25)</f>
        <v>-2,31359245900744+47,2474058073887i</v>
      </c>
      <c r="Z25" s="23">
        <f t="shared" ref="Z25:Z74" si="22">20*LOG((IMABS(Y25)))</f>
        <v>33.497960521410171</v>
      </c>
      <c r="AA25" s="23">
        <f t="shared" ref="AA25:AA74" si="23">IMARGUMENT(Y25)*180/PI()</f>
        <v>92.803398029739753</v>
      </c>
      <c r="AB25" s="23"/>
    </row>
    <row r="26" spans="1:28" x14ac:dyDescent="0.25">
      <c r="A26" s="23">
        <f t="shared" si="17"/>
        <v>2</v>
      </c>
      <c r="B26" s="23">
        <f>EXP(((A26)*((LN('FB analysis'!$B$26*1000)-LN('FB analysis'!$B$25))/50))+LN('FB analysis'!$B$25))</f>
        <v>13.182567385564075</v>
      </c>
      <c r="C26" s="36" t="str">
        <f t="shared" si="1"/>
        <v>82,828513707881i</v>
      </c>
      <c r="D26" s="23" t="str">
        <f t="shared" si="2"/>
        <v>1+0,000331314054831524i</v>
      </c>
      <c r="E26" s="23" t="str">
        <f t="shared" si="3"/>
        <v>1+0,0395551641393892i</v>
      </c>
      <c r="F26" s="23" t="str">
        <f t="shared" si="18"/>
        <v>0,000707907697156687i</v>
      </c>
      <c r="G26" s="23" t="str">
        <f t="shared" si="4"/>
        <v>6,19842288862815-0,247517608795162i</v>
      </c>
      <c r="H26" s="23">
        <f t="shared" si="5"/>
        <v>15.852543767718748</v>
      </c>
      <c r="I26" s="23">
        <f t="shared" si="6"/>
        <v>-2.2867403173096306</v>
      </c>
      <c r="J26" s="23" t="str">
        <f>IMPRODUCT(Sheet1!$B$12,IMDIV(IMSUM($L$21,IMDIV(C26,Sheet1!$C$12)),IMSUM($L$21,IMDIV(C26,Sheet1!$D$12))))</f>
        <v>0,998756169099495-0,00907426622501913i</v>
      </c>
      <c r="K26" s="23">
        <f t="shared" si="7"/>
        <v>-1.0452017970801003E-2</v>
      </c>
      <c r="L26" s="23">
        <f t="shared" si="8"/>
        <v>-0.52055032820464531</v>
      </c>
      <c r="M26" s="23" t="str">
        <f t="shared" si="9"/>
        <v>6,18846705802729-0,303455878211587i</v>
      </c>
      <c r="N26" s="23">
        <f t="shared" si="10"/>
        <v>15.842091749747949</v>
      </c>
      <c r="O26" s="23">
        <f t="shared" si="11"/>
        <v>-2.8072906455142719</v>
      </c>
      <c r="P26" s="23" t="str">
        <f>IMPRODUCT(-Sheet1!$D$6,IMDIV(IMSUM(COMPLEX(1,0),IMDIV(Sheet1!$B$6,C26)),IMSUM(COMPLEX(1,0),IMDIV(C26,Sheet1!$C$6))))</f>
        <v>-0,699806597121112+6,66141321959514i</v>
      </c>
      <c r="Q26" s="23">
        <f t="shared" si="12"/>
        <v>16.518994958278295</v>
      </c>
      <c r="R26" s="23">
        <f t="shared" si="13"/>
        <v>95.997140342404364</v>
      </c>
      <c r="S26" s="23" t="str">
        <f t="shared" si="14"/>
        <v>-2,30928507459166+41,4362966948797i</v>
      </c>
      <c r="T26" s="23">
        <f t="shared" si="15"/>
        <v>32.361086708026242</v>
      </c>
      <c r="U26" s="23">
        <f t="shared" si="16"/>
        <v>93.189849696890107</v>
      </c>
      <c r="V26" s="23" t="str">
        <f>IMPRODUCT(-Sheet1!$J$6,IMDIV(IMSUM(COMPLEX(1,0),IMDIV(Sheet1!$H$6,C26)),IMSUM(COMPLEX(1,0),IMDIV(C26,Sheet1!$I$6))))</f>
        <v>-0,698268679757611+6,62054467683401i</v>
      </c>
      <c r="W26" s="23">
        <f t="shared" si="19"/>
        <v>16.465918238833389</v>
      </c>
      <c r="X26" s="23">
        <f t="shared" si="20"/>
        <v>96.020725576648005</v>
      </c>
      <c r="Y26" s="23" t="str">
        <f t="shared" si="21"/>
        <v>-2,31216952318447+41,1829163742287i</v>
      </c>
      <c r="Z26" s="23">
        <f t="shared" si="22"/>
        <v>32.30800998858134</v>
      </c>
      <c r="AA26" s="23">
        <f t="shared" si="23"/>
        <v>93.213434931133719</v>
      </c>
      <c r="AB26" s="23"/>
    </row>
    <row r="27" spans="1:28" x14ac:dyDescent="0.25">
      <c r="A27" s="23">
        <f t="shared" si="17"/>
        <v>3</v>
      </c>
      <c r="B27" s="23">
        <f>EXP(((A27)*((LN('FB analysis'!$B$26*1000)-LN('FB analysis'!$B$25))/50))+LN('FB analysis'!$B$25))</f>
        <v>15.135612484362087</v>
      </c>
      <c r="C27" s="36" t="str">
        <f t="shared" si="1"/>
        <v>95,0998579769078i</v>
      </c>
      <c r="D27" s="23" t="str">
        <f t="shared" si="2"/>
        <v>1+0,000380399431907631i</v>
      </c>
      <c r="E27" s="23" t="str">
        <f t="shared" si="3"/>
        <v>1+0,0454154049555434i</v>
      </c>
      <c r="F27" s="23" t="str">
        <f t="shared" si="18"/>
        <v>0,000812786786175968i</v>
      </c>
      <c r="G27" s="23" t="str">
        <f t="shared" si="4"/>
        <v>6,19531323293253-0,284047012696642i</v>
      </c>
      <c r="H27" s="23">
        <f t="shared" si="5"/>
        <v>15.8503851147189</v>
      </c>
      <c r="I27" s="23">
        <f t="shared" si="6"/>
        <v>-2.6250982101787028</v>
      </c>
      <c r="J27" s="23" t="str">
        <f>IMPRODUCT(Sheet1!$B$12,IMDIV(IMSUM($L$21,IMDIV(C27,Sheet1!$C$12)),IMSUM($L$21,IMDIV(C27,Sheet1!$D$12))))</f>
        <v>0,998709745875284-0,0104177945326434i</v>
      </c>
      <c r="K27" s="23">
        <f t="shared" si="7"/>
        <v>-1.0741706423463625E-2</v>
      </c>
      <c r="L27" s="23">
        <f t="shared" si="8"/>
        <v>-0.59764512444080942</v>
      </c>
      <c r="M27" s="23" t="str">
        <f t="shared" si="9"/>
        <v>6,18436056106395-0,348222020192955i</v>
      </c>
      <c r="N27" s="23">
        <f t="shared" si="10"/>
        <v>15.839643408295442</v>
      </c>
      <c r="O27" s="23">
        <f t="shared" si="11"/>
        <v>-3.2227433346195129</v>
      </c>
      <c r="P27" s="23" t="str">
        <f>IMPRODUCT(-Sheet1!$D$6,IMDIV(IMSUM(COMPLEX(1,0),IMDIV(Sheet1!$B$6,C27)),IMSUM(COMPLEX(1,0),IMDIV(C27,Sheet1!$C$6))))</f>
        <v>-0,699806006349531+5,80216429900313i</v>
      </c>
      <c r="Q27" s="23">
        <f t="shared" si="12"/>
        <v>15.334522424758068</v>
      </c>
      <c r="R27" s="23">
        <f t="shared" si="13"/>
        <v>96.877293049782551</v>
      </c>
      <c r="S27" s="23" t="str">
        <f t="shared" si="14"/>
        <v>-2,3074112923734+36,1263639208424i</v>
      </c>
      <c r="T27" s="23">
        <f t="shared" si="15"/>
        <v>31.174165833053507</v>
      </c>
      <c r="U27" s="23">
        <f t="shared" si="16"/>
        <v>93.654549715163043</v>
      </c>
      <c r="V27" s="23" t="str">
        <f>IMPRODUCT(-Sheet1!$J$6,IMDIV(IMSUM(COMPLEX(1,0),IMDIV(Sheet1!$H$6,C27)),IMSUM(COMPLEX(1,0),IMDIV(C27,Sheet1!$I$6))))</f>
        <v>-0,698268090210191+5,76656861181456i</v>
      </c>
      <c r="W27" s="23">
        <f t="shared" si="19"/>
        <v>15.281565582083825</v>
      </c>
      <c r="X27" s="23">
        <f t="shared" si="20"/>
        <v>96.904275457603717</v>
      </c>
      <c r="Y27" s="23" t="str">
        <f t="shared" si="21"/>
        <v>-2,310295466558+35,9056918205845i</v>
      </c>
      <c r="Z27" s="23">
        <f t="shared" si="22"/>
        <v>31.121208990379262</v>
      </c>
      <c r="AA27" s="23">
        <f t="shared" si="23"/>
        <v>93.681532122984208</v>
      </c>
      <c r="AB27" s="23"/>
    </row>
    <row r="28" spans="1:28" x14ac:dyDescent="0.25">
      <c r="A28" s="23">
        <f t="shared" si="17"/>
        <v>4</v>
      </c>
      <c r="B28" s="23">
        <f>EXP(((A28)*((LN('FB analysis'!$B$26*1000)-LN('FB analysis'!$B$25))/50))+LN('FB analysis'!$B$25))</f>
        <v>17.378008287493756</v>
      </c>
      <c r="C28" s="36" t="str">
        <f t="shared" si="1"/>
        <v>109,189246340026i</v>
      </c>
      <c r="D28" s="23" t="str">
        <f t="shared" si="2"/>
        <v>1+0,000436756985360104i</v>
      </c>
      <c r="E28" s="23" t="str">
        <f t="shared" si="3"/>
        <v>1+0,0521438616714546i</v>
      </c>
      <c r="F28" s="23" t="str">
        <f t="shared" si="18"/>
        <v>0,000933204092052751i</v>
      </c>
      <c r="G28" s="23" t="str">
        <f t="shared" si="4"/>
        <v>6,19121862766648-0,32591609784344i</v>
      </c>
      <c r="H28" s="23">
        <f t="shared" si="5"/>
        <v>15.847541094363125</v>
      </c>
      <c r="I28" s="23">
        <f t="shared" si="6"/>
        <v>-3.0133641732445113</v>
      </c>
      <c r="J28" s="23" t="str">
        <f>IMPRODUCT(Sheet1!$B$12,IMDIV(IMSUM($L$21,IMDIV(C28,Sheet1!$C$12)),IMSUM($L$21,IMDIV(C28,Sheet1!$D$12))))</f>
        <v>0,998648559817058-0,0119599315006925i</v>
      </c>
      <c r="K28" s="23">
        <f t="shared" si="7"/>
        <v>-1.1123546875993939E-2</v>
      </c>
      <c r="L28" s="23">
        <f t="shared" si="8"/>
        <v>-0.68614812785270562</v>
      </c>
      <c r="M28" s="23" t="str">
        <f t="shared" si="9"/>
        <v>6,17895363182649-0,399522192425249i</v>
      </c>
      <c r="N28" s="23">
        <f t="shared" si="10"/>
        <v>15.83641754748713</v>
      </c>
      <c r="O28" s="23">
        <f t="shared" si="11"/>
        <v>-3.6995123010972164</v>
      </c>
      <c r="P28" s="23" t="str">
        <f>IMPRODUCT(-Sheet1!$D$6,IMDIV(IMSUM(COMPLEX(1,0),IMDIV(Sheet1!$B$6,C28)),IMSUM(COMPLEX(1,0),IMDIV(C28,Sheet1!$C$6))))</f>
        <v>-0,699805227562438+5,05383657949012i</v>
      </c>
      <c r="Q28" s="23">
        <f t="shared" si="12"/>
        <v>14.154907108387329</v>
      </c>
      <c r="R28" s="23">
        <f t="shared" si="13"/>
        <v>97.883620306256987</v>
      </c>
      <c r="S28" s="23" t="str">
        <f t="shared" si="14"/>
        <v>-2,30494418202128+31,5070096062845i</v>
      </c>
      <c r="T28" s="23">
        <f t="shared" si="15"/>
        <v>29.991324655874475</v>
      </c>
      <c r="U28" s="23">
        <f t="shared" si="16"/>
        <v>94.184108005159786</v>
      </c>
      <c r="V28" s="23" t="str">
        <f>IMPRODUCT(-Sheet1!$J$6,IMDIV(IMSUM(COMPLEX(1,0),IMDIV(Sheet1!$H$6,C28)),IMSUM(COMPLEX(1,0),IMDIV(C28,Sheet1!$I$6))))</f>
        <v>-0,698267313036854+5,02283325759673i</v>
      </c>
      <c r="W28" s="23">
        <f t="shared" si="19"/>
        <v>14.102106987410284</v>
      </c>
      <c r="X28" s="23">
        <f t="shared" si="20"/>
        <v>97.914454557518468</v>
      </c>
      <c r="Y28" s="23" t="str">
        <f t="shared" si="21"/>
        <v>-2,30782799461329+31,3148270868896i</v>
      </c>
      <c r="Z28" s="23">
        <f t="shared" si="22"/>
        <v>29.938524534897422</v>
      </c>
      <c r="AA28" s="23">
        <f t="shared" si="23"/>
        <v>94.214942256421239</v>
      </c>
      <c r="AB28" s="23"/>
    </row>
    <row r="29" spans="1:28" x14ac:dyDescent="0.25">
      <c r="A29" s="23">
        <f t="shared" si="17"/>
        <v>5</v>
      </c>
      <c r="B29" s="23">
        <f>EXP(((A29)*((LN('FB analysis'!$B$26*1000)-LN('FB analysis'!$B$25))/50))+LN('FB analysis'!$B$25))</f>
        <v>19.952623149688797</v>
      </c>
      <c r="C29" s="36" t="str">
        <f t="shared" si="1"/>
        <v>125,366028613816i</v>
      </c>
      <c r="D29" s="23" t="str">
        <f t="shared" si="2"/>
        <v>1+0,000501464114455264i</v>
      </c>
      <c r="E29" s="23" t="str">
        <f t="shared" si="3"/>
        <v>1+0,0598691636169131i</v>
      </c>
      <c r="F29" s="23" t="str">
        <f t="shared" si="18"/>
        <v>0,00107146165788608i</v>
      </c>
      <c r="G29" s="23" t="str">
        <f t="shared" si="4"/>
        <v>6,18582907139751-0,373879079924467i</v>
      </c>
      <c r="H29" s="23">
        <f t="shared" si="5"/>
        <v>15.84379478894256</v>
      </c>
      <c r="I29" s="23">
        <f t="shared" si="6"/>
        <v>-3.4588192812875742</v>
      </c>
      <c r="J29" s="23" t="str">
        <f>IMPRODUCT(Sheet1!$B$12,IMDIV(IMSUM($L$21,IMDIV(C29,Sheet1!$C$12)),IMSUM($L$21,IMDIV(C29,Sheet1!$D$12))))</f>
        <v>0,998567921156719-0,013729876039626i</v>
      </c>
      <c r="K29" s="23">
        <f t="shared" si="7"/>
        <v>-1.1626835392112256E-2</v>
      </c>
      <c r="L29" s="23">
        <f t="shared" si="8"/>
        <v>-0.78774249219595815</v>
      </c>
      <c r="M29" s="23" t="str">
        <f t="shared" si="9"/>
        <v>6,17183716303504-0,458274321956764i</v>
      </c>
      <c r="N29" s="23">
        <f t="shared" si="10"/>
        <v>15.832167953550451</v>
      </c>
      <c r="O29" s="23">
        <f t="shared" si="11"/>
        <v>-4.2465617734835259</v>
      </c>
      <c r="P29" s="23" t="str">
        <f>IMPRODUCT(-Sheet1!$D$6,IMDIV(IMSUM(COMPLEX(1,0),IMDIV(Sheet1!$B$6,C29)),IMSUM(COMPLEX(1,0),IMDIV(C29,Sheet1!$C$6))))</f>
        <v>-0,699804200923753+4,40212412144149i</v>
      </c>
      <c r="Q29" s="23">
        <f t="shared" si="12"/>
        <v>12.981633910259657</v>
      </c>
      <c r="R29" s="23">
        <f t="shared" si="13"/>
        <v>99.032707434729346</v>
      </c>
      <c r="S29" s="23" t="str">
        <f t="shared" si="14"/>
        <v>-2,30169712718614+27,4898955446864i</v>
      </c>
      <c r="T29" s="23">
        <f t="shared" si="15"/>
        <v>28.813801863810113</v>
      </c>
      <c r="U29" s="23">
        <f t="shared" si="16"/>
        <v>94.786145661245826</v>
      </c>
      <c r="V29" s="23" t="str">
        <f>IMPRODUCT(-Sheet1!$J$6,IMDIV(IMSUM(COMPLEX(1,0),IMDIV(Sheet1!$H$6,C29)),IMSUM(COMPLEX(1,0),IMDIV(C29,Sheet1!$I$6))))</f>
        <v>-0,698266288525509+4,37512046778507i</v>
      </c>
      <c r="W29" s="23">
        <f t="shared" si="19"/>
        <v>12.929038150642764</v>
      </c>
      <c r="X29" s="23">
        <f t="shared" si="20"/>
        <v>99.067891758043004</v>
      </c>
      <c r="Y29" s="23" t="str">
        <f t="shared" si="21"/>
        <v>-2,30458046336292+27,3225286057504i</v>
      </c>
      <c r="Z29" s="23">
        <f t="shared" si="22"/>
        <v>28.761206104193203</v>
      </c>
      <c r="AA29" s="23">
        <f t="shared" si="23"/>
        <v>94.821329984559469</v>
      </c>
      <c r="AB29" s="23"/>
    </row>
    <row r="30" spans="1:28" x14ac:dyDescent="0.25">
      <c r="A30" s="23">
        <f t="shared" si="17"/>
        <v>6</v>
      </c>
      <c r="B30" s="23">
        <f>EXP(((A30)*((LN('FB analysis'!$B$26*1000)-LN('FB analysis'!$B$25))/50))+LN('FB analysis'!$B$25))</f>
        <v>22.908676527677738</v>
      </c>
      <c r="C30" s="36" t="str">
        <f t="shared" si="1"/>
        <v>143,939459765635i</v>
      </c>
      <c r="D30" s="23" t="str">
        <f t="shared" si="2"/>
        <v>1+0,00057575783906254i</v>
      </c>
      <c r="E30" s="23" t="str">
        <f t="shared" si="3"/>
        <v>1+0,0687389970227483i</v>
      </c>
      <c r="F30" s="23" t="str">
        <f t="shared" si="18"/>
        <v>0,00123020258279696i</v>
      </c>
      <c r="G30" s="23" t="str">
        <f t="shared" si="4"/>
        <v>6,17873843824049-0,428783216768408i</v>
      </c>
      <c r="H30" s="23">
        <f t="shared" si="5"/>
        <v>15.838861129415143</v>
      </c>
      <c r="I30" s="23">
        <f t="shared" si="6"/>
        <v>-3.969765744250668</v>
      </c>
      <c r="J30" s="23" t="str">
        <f>IMPRODUCT(Sheet1!$B$12,IMDIV(IMSUM($L$21,IMDIV(C30,Sheet1!$C$12)),IMSUM($L$21,IMDIV(C30,Sheet1!$D$12))))</f>
        <v>0,998461653914672-0,0157610373273916i</v>
      </c>
      <c r="K30" s="23">
        <f t="shared" si="7"/>
        <v>-1.2290168168600717E-2</v>
      </c>
      <c r="L30" s="23">
        <f t="shared" si="8"/>
        <v>-0.90435713960575781</v>
      </c>
      <c r="M30" s="23" t="str">
        <f t="shared" si="9"/>
        <v>6,16247533186691-0,525506926946736i</v>
      </c>
      <c r="N30" s="23">
        <f t="shared" si="10"/>
        <v>15.82657096124654</v>
      </c>
      <c r="O30" s="23">
        <f t="shared" si="11"/>
        <v>-4.8741228838564297</v>
      </c>
      <c r="P30" s="23" t="str">
        <f>IMPRODUCT(-Sheet1!$D$6,IMDIV(IMSUM(COMPLEX(1,0),IMDIV(Sheet1!$B$6,C30)),IMSUM(COMPLEX(1,0),IMDIV(C30,Sheet1!$C$6))))</f>
        <v>-0,699802847554991+3,83456799943839i</v>
      </c>
      <c r="Q30" s="23">
        <f t="shared" si="12"/>
        <v>11.816617109884524</v>
      </c>
      <c r="R30" s="23">
        <f t="shared" si="13"/>
        <v>100.34257309226865</v>
      </c>
      <c r="S30" s="23" t="str">
        <f t="shared" si="14"/>
        <v>-2,29742573967469+23,9981819487925i</v>
      </c>
      <c r="T30" s="23">
        <f t="shared" si="15"/>
        <v>27.643188071131057</v>
      </c>
      <c r="U30" s="23">
        <f t="shared" si="16"/>
        <v>95.468450208412236</v>
      </c>
      <c r="V30" s="23" t="str">
        <f>IMPRODUCT(-Sheet1!$J$6,IMDIV(IMSUM(COMPLEX(1,0),IMDIV(Sheet1!$H$6,C30)),IMSUM(COMPLEX(1,0),IMDIV(C30,Sheet1!$I$6))))</f>
        <v>-0,698264937961119+3,81104777946524i</v>
      </c>
      <c r="W30" s="23">
        <f t="shared" si="19"/>
        <v>11.764286934804456</v>
      </c>
      <c r="X30" s="23">
        <f t="shared" si="20"/>
        <v>100.38264461829554</v>
      </c>
      <c r="Y30" s="23" t="str">
        <f t="shared" si="21"/>
        <v>-2,30030844825902+23,8524309912633i</v>
      </c>
      <c r="Z30" s="23">
        <f t="shared" si="22"/>
        <v>27.590857896050991</v>
      </c>
      <c r="AA30" s="23">
        <f t="shared" si="23"/>
        <v>95.508521734439142</v>
      </c>
      <c r="AB30" s="23"/>
    </row>
    <row r="31" spans="1:28" x14ac:dyDescent="0.25">
      <c r="A31" s="23">
        <f t="shared" si="17"/>
        <v>7</v>
      </c>
      <c r="B31" s="23">
        <f>EXP(((A31)*((LN('FB analysis'!$B$26*1000)-LN('FB analysis'!$B$25))/50))+LN('FB analysis'!$B$25))</f>
        <v>26.302679918953825</v>
      </c>
      <c r="C31" s="36" t="str">
        <f t="shared" si="1"/>
        <v>165,264612006218i</v>
      </c>
      <c r="D31" s="23" t="str">
        <f t="shared" si="2"/>
        <v>1+0,000661058448024872i</v>
      </c>
      <c r="E31" s="23" t="str">
        <f t="shared" si="3"/>
        <v>1+0,0789229283697316i</v>
      </c>
      <c r="F31" s="23" t="str">
        <f t="shared" si="18"/>
        <v>0,00141246155061314i</v>
      </c>
      <c r="G31" s="23" t="str">
        <f t="shared" si="4"/>
        <v>6,16941572925451-0,49157322792244i</v>
      </c>
      <c r="H31" s="23">
        <f t="shared" si="5"/>
        <v>15.832365851840585</v>
      </c>
      <c r="I31" s="23">
        <f t="shared" si="6"/>
        <v>-4.5556490575858222</v>
      </c>
      <c r="J31" s="23" t="str">
        <f>IMPRODUCT(Sheet1!$B$12,IMDIV(IMSUM($L$21,IMDIV(C31,Sheet1!$C$12)),IMSUM($L$21,IMDIV(C31,Sheet1!$D$12))))</f>
        <v>0,998321627568533-0,0180915994219407i</v>
      </c>
      <c r="K31" s="23">
        <f t="shared" si="7"/>
        <v>-1.3164384028611906E-2</v>
      </c>
      <c r="L31" s="23">
        <f t="shared" si="8"/>
        <v>-1.0382013296836468</v>
      </c>
      <c r="M31" s="23" t="str">
        <f t="shared" si="9"/>
        <v>6,15016780605015-0,602362783009741i</v>
      </c>
      <c r="N31" s="23">
        <f t="shared" si="10"/>
        <v>15.819201467811975</v>
      </c>
      <c r="O31" s="23">
        <f t="shared" si="11"/>
        <v>-5.5938503872694705</v>
      </c>
      <c r="P31" s="23" t="str">
        <f>IMPRODUCT(-Sheet1!$D$6,IMDIV(IMSUM(COMPLEX(1,0),IMDIV(Sheet1!$B$6,C31)),IMSUM(COMPLEX(1,0),IMDIV(C31,Sheet1!$C$6))))</f>
        <v>-0,699801063475498+3,34031812224995i</v>
      </c>
      <c r="Q31" s="23">
        <f t="shared" si="12"/>
        <v>10.662307312335454</v>
      </c>
      <c r="R31" s="23">
        <f t="shared" si="13"/>
        <v>101.83241106033907</v>
      </c>
      <c r="S31" s="23" t="str">
        <f t="shared" si="14"/>
        <v>-2,29181065097031+20,9650510935758i</v>
      </c>
      <c r="T31" s="23">
        <f t="shared" si="15"/>
        <v>26.481508780147426</v>
      </c>
      <c r="U31" s="23">
        <f t="shared" si="16"/>
        <v>96.238560673069571</v>
      </c>
      <c r="V31" s="23" t="str">
        <f>IMPRODUCT(-Sheet1!$J$6,IMDIV(IMSUM(COMPLEX(1,0),IMDIV(Sheet1!$H$6,C31)),IMSUM(COMPLEX(1,0),IMDIV(C31,Sheet1!$I$6))))</f>
        <v>-0,698263157578493+3,31983169494637i</v>
      </c>
      <c r="W31" s="23">
        <f t="shared" si="19"/>
        <v>10.610320776696668</v>
      </c>
      <c r="X31" s="23">
        <f t="shared" si="20"/>
        <v>101.877935793549</v>
      </c>
      <c r="Y31" s="23" t="str">
        <f t="shared" si="21"/>
        <v>-2,29469253299833+20,8381297506362i</v>
      </c>
      <c r="Z31" s="23">
        <f t="shared" si="22"/>
        <v>26.429522244508632</v>
      </c>
      <c r="AA31" s="23">
        <f t="shared" si="23"/>
        <v>96.284085406279544</v>
      </c>
      <c r="AB31" s="23"/>
    </row>
    <row r="32" spans="1:28" x14ac:dyDescent="0.25">
      <c r="A32" s="23">
        <f t="shared" si="17"/>
        <v>8</v>
      </c>
      <c r="B32" s="23">
        <f>EXP(((A32)*((LN('FB analysis'!$B$26*1000)-LN('FB analysis'!$B$25))/50))+LN('FB analysis'!$B$25))</f>
        <v>30.199517204020164</v>
      </c>
      <c r="C32" s="36" t="str">
        <f t="shared" si="1"/>
        <v>189,749162780217i</v>
      </c>
      <c r="D32" s="23" t="str">
        <f t="shared" si="2"/>
        <v>1+0,000758996651120868i</v>
      </c>
      <c r="E32" s="23" t="str">
        <f t="shared" si="3"/>
        <v>1+0,0906156460268467i</v>
      </c>
      <c r="F32" s="23" t="str">
        <f t="shared" si="18"/>
        <v>0,00162172284456158i</v>
      </c>
      <c r="G32" s="23" t="str">
        <f t="shared" si="4"/>
        <v>6,15716850013101-0,563291791663669i</v>
      </c>
      <c r="H32" s="23">
        <f t="shared" si="5"/>
        <v>15.82381822516961</v>
      </c>
      <c r="I32" s="23">
        <f t="shared" si="6"/>
        <v>-5.2271837172653806</v>
      </c>
      <c r="J32" s="23" t="str">
        <f>IMPRODUCT(Sheet1!$B$12,IMDIV(IMSUM($L$21,IMDIV(C32,Sheet1!$C$12)),IMSUM($L$21,IMDIV(C32,Sheet1!$D$12))))</f>
        <v>0,998137143099979-0,0207651393851546i</v>
      </c>
      <c r="K32" s="23">
        <f t="shared" si="7"/>
        <v>-1.4316430629355878E-2</v>
      </c>
      <c r="L32" s="23">
        <f t="shared" si="8"/>
        <v>-1.1918034087699101</v>
      </c>
      <c r="M32" s="23" t="str">
        <f t="shared" si="9"/>
        <v>6,13400174373754-0,690096921785947i</v>
      </c>
      <c r="N32" s="23">
        <f t="shared" si="10"/>
        <v>15.809501794540255</v>
      </c>
      <c r="O32" s="23">
        <f t="shared" si="11"/>
        <v>-6.4189871260352911</v>
      </c>
      <c r="P32" s="23" t="str">
        <f>IMPRODUCT(-Sheet1!$D$6,IMDIV(IMSUM(COMPLEX(1,0),IMDIV(Sheet1!$B$6,C32)),IMSUM(COMPLEX(1,0),IMDIV(C32,Sheet1!$C$6))))</f>
        <v>-0,699798711614586+2,90992580919923i</v>
      </c>
      <c r="Q32" s="23">
        <f t="shared" si="12"/>
        <v>9.5218131154537353</v>
      </c>
      <c r="R32" s="23">
        <f t="shared" si="13"/>
        <v>103.52210225203817</v>
      </c>
      <c r="S32" s="23" t="str">
        <f t="shared" si="14"/>
        <v>-2,28443567375528+18,3324189245299i</v>
      </c>
      <c r="T32" s="23">
        <f t="shared" si="15"/>
        <v>25.331314909993967</v>
      </c>
      <c r="U32" s="23">
        <f t="shared" si="16"/>
        <v>97.103115126002876</v>
      </c>
      <c r="V32" s="23" t="str">
        <f>IMPRODUCT(-Sheet1!$J$6,IMDIV(IMSUM(COMPLEX(1,0),IMDIV(Sheet1!$H$6,C32)),IMSUM(COMPLEX(1,0),IMDIV(C32,Sheet1!$I$6))))</f>
        <v>-0,698260810590972+2,89208153121004i</v>
      </c>
      <c r="W32" s="23">
        <f t="shared" si="19"/>
        <v>9.4702687011832136</v>
      </c>
      <c r="X32" s="23">
        <f t="shared" si="20"/>
        <v>103.57365736343667</v>
      </c>
      <c r="Y32" s="23" t="str">
        <f t="shared" si="21"/>
        <v>-2,28731646750657+18,2219007914661i</v>
      </c>
      <c r="Z32" s="23">
        <f t="shared" si="22"/>
        <v>25.279770495723465</v>
      </c>
      <c r="AA32" s="23">
        <f t="shared" si="23"/>
        <v>97.154670237401362</v>
      </c>
      <c r="AB32" s="23"/>
    </row>
    <row r="33" spans="1:28" x14ac:dyDescent="0.25">
      <c r="A33" s="23">
        <f t="shared" si="17"/>
        <v>9</v>
      </c>
      <c r="B33" s="23">
        <f>EXP(((A33)*((LN('FB analysis'!$B$26*1000)-LN('FB analysis'!$B$25))/50))+LN('FB analysis'!$B$25))</f>
        <v>34.67368504525318</v>
      </c>
      <c r="C33" s="36" t="str">
        <f t="shared" si="1"/>
        <v>217,861188422107i</v>
      </c>
      <c r="D33" s="23" t="str">
        <f t="shared" si="2"/>
        <v>1+0,000871444753688428i</v>
      </c>
      <c r="E33" s="23" t="str">
        <f t="shared" si="3"/>
        <v>1+0,104040682150003i</v>
      </c>
      <c r="F33" s="23" t="str">
        <f t="shared" si="18"/>
        <v>0,0018619869570476i</v>
      </c>
      <c r="G33" s="23" t="str">
        <f t="shared" si="4"/>
        <v>6,14109690973851-0,645073411894493i</v>
      </c>
      <c r="H33" s="23">
        <f t="shared" si="5"/>
        <v>15.812575903597066</v>
      </c>
      <c r="I33" s="23">
        <f t="shared" si="6"/>
        <v>-5.9964759834533119</v>
      </c>
      <c r="J33" s="23" t="str">
        <f>IMPRODUCT(Sheet1!$B$12,IMDIV(IMSUM($L$21,IMDIV(C33,Sheet1!$C$12)),IMSUM($L$21,IMDIV(C33,Sheet1!$D$12))))</f>
        <v>0,997894129585002-0,0238312916072451i</v>
      </c>
      <c r="K33" s="23">
        <f t="shared" si="7"/>
        <v>-1.5834438999811531E-2</v>
      </c>
      <c r="L33" s="23">
        <f t="shared" si="8"/>
        <v>-1.3680538800603128</v>
      </c>
      <c r="M33" s="23" t="str">
        <f t="shared" si="9"/>
        <v>6,11279162285372-0,790065242125213i</v>
      </c>
      <c r="N33" s="23">
        <f t="shared" si="10"/>
        <v>15.796741464597257</v>
      </c>
      <c r="O33" s="23">
        <f t="shared" si="11"/>
        <v>-7.3645298635136252</v>
      </c>
      <c r="P33" s="23" t="str">
        <f>IMPRODUCT(-Sheet1!$D$6,IMDIV(IMSUM(COMPLEX(1,0),IMDIV(Sheet1!$B$6,C33)),IMSUM(COMPLEX(1,0),IMDIV(C33,Sheet1!$C$6))))</f>
        <v>-0,699795611282245+2,53516315751677i</v>
      </c>
      <c r="Q33" s="23">
        <f t="shared" si="12"/>
        <v>8.3990309171867104</v>
      </c>
      <c r="R33" s="23">
        <f t="shared" si="13"/>
        <v>105.43140726882453</v>
      </c>
      <c r="S33" s="23" t="str">
        <f t="shared" si="14"/>
        <v>-2,2747604564855+16,0498083009018i</v>
      </c>
      <c r="T33" s="23">
        <f t="shared" si="15"/>
        <v>24.195772381783982</v>
      </c>
      <c r="U33" s="23">
        <f t="shared" si="16"/>
        <v>98.066877405310905</v>
      </c>
      <c r="V33" s="23" t="str">
        <f>IMPRODUCT(-Sheet1!$J$6,IMDIV(IMSUM(COMPLEX(1,0),IMDIV(Sheet1!$H$6,C33)),IMSUM(COMPLEX(1,0),IMDIV(C33,Sheet1!$I$6))))</f>
        <v>-0,698257716682966+2,51961989601775i</v>
      </c>
      <c r="W33" s="23">
        <f t="shared" si="19"/>
        <v>8.3480511997622617</v>
      </c>
      <c r="X33" s="23">
        <f t="shared" si="20"/>
        <v>105.48955299081439</v>
      </c>
      <c r="Y33" s="23" t="str">
        <f t="shared" si="21"/>
        <v>-2,27763981792183+15,9535805451498i</v>
      </c>
      <c r="Z33" s="23">
        <f t="shared" si="22"/>
        <v>24.144792664359525</v>
      </c>
      <c r="AA33" s="23">
        <f t="shared" si="23"/>
        <v>98.12502312730075</v>
      </c>
      <c r="AB33" s="23"/>
    </row>
    <row r="34" spans="1:28" x14ac:dyDescent="0.25">
      <c r="A34" s="23">
        <f t="shared" si="17"/>
        <v>10</v>
      </c>
      <c r="B34" s="23">
        <f>EXP(((A34)*((LN('FB analysis'!$B$26*1000)-LN('FB analysis'!$B$25))/50))+LN('FB analysis'!$B$25))</f>
        <v>39.810717055349734</v>
      </c>
      <c r="C34" s="36" t="str">
        <f t="shared" si="1"/>
        <v>250,138112470457i</v>
      </c>
      <c r="D34" s="23" t="str">
        <f t="shared" si="2"/>
        <v>1+0,00100055244988183i</v>
      </c>
      <c r="E34" s="23" t="str">
        <f t="shared" si="3"/>
        <v>1+0,119454685993532i</v>
      </c>
      <c r="F34" s="23" t="str">
        <f t="shared" si="18"/>
        <v>0,00213784706791416i</v>
      </c>
      <c r="G34" s="23" t="str">
        <f t="shared" si="4"/>
        <v>6,12003697412388-0,738127666855857i</v>
      </c>
      <c r="H34" s="23">
        <f t="shared" si="5"/>
        <v>15.797799967260318</v>
      </c>
      <c r="I34" s="23">
        <f t="shared" si="6"/>
        <v>-6.8771329969055408</v>
      </c>
      <c r="J34" s="23" t="str">
        <f>IMPRODUCT(Sheet1!$B$12,IMDIV(IMSUM($L$21,IMDIV(C34,Sheet1!$C$12)),IMSUM($L$21,IMDIV(C34,Sheet1!$D$12))))</f>
        <v>0,997574095370269-0,0273464423473166i</v>
      </c>
      <c r="K34" s="23">
        <f t="shared" si="7"/>
        <v>-1.7834374759261452E-2</v>
      </c>
      <c r="L34" s="23">
        <f t="shared" si="8"/>
        <v>-1.5702527149885315</v>
      </c>
      <c r="M34" s="23" t="str">
        <f t="shared" si="9"/>
        <v>6,08500518240759-0,903698277807823i</v>
      </c>
      <c r="N34" s="23">
        <f t="shared" si="10"/>
        <v>15.77996559250105</v>
      </c>
      <c r="O34" s="23">
        <f t="shared" si="11"/>
        <v>-8.4473857118940732</v>
      </c>
      <c r="P34" s="23" t="str">
        <f>IMPRODUCT(-Sheet1!$D$6,IMDIV(IMSUM(COMPLEX(1,0),IMDIV(Sheet1!$B$6,C34)),IMSUM(COMPLEX(1,0),IMDIV(C34,Sheet1!$C$6))))</f>
        <v>-0,699791524290221+2,20886574744998i</v>
      </c>
      <c r="Q34" s="23">
        <f t="shared" si="12"/>
        <v>7.2987690771751836</v>
      </c>
      <c r="R34" s="23">
        <f t="shared" si="13"/>
        <v>107.57874047599593</v>
      </c>
      <c r="S34" s="23" t="str">
        <f t="shared" si="14"/>
        <v>-2,26208688003167+14,0733599158013i</v>
      </c>
      <c r="T34" s="23">
        <f t="shared" si="15"/>
        <v>23.078734669676223</v>
      </c>
      <c r="U34" s="23">
        <f t="shared" si="16"/>
        <v>99.131354764101914</v>
      </c>
      <c r="V34" s="23" t="str">
        <f>IMPRODUCT(-Sheet1!$J$6,IMDIV(IMSUM(COMPLEX(1,0),IMDIV(Sheet1!$H$6,C34)),IMSUM(COMPLEX(1,0),IMDIV(C34,Sheet1!$I$6))))</f>
        <v>-0,698253638159782+2,19532635864153i</v>
      </c>
      <c r="W34" s="23">
        <f t="shared" si="19"/>
        <v>7.2485039404198659</v>
      </c>
      <c r="X34" s="23">
        <f t="shared" si="20"/>
        <v>107.64397883336729</v>
      </c>
      <c r="Y34" s="23" t="str">
        <f t="shared" si="21"/>
        <v>-2,26496435730676+13,9895828796877i</v>
      </c>
      <c r="Z34" s="23">
        <f t="shared" si="22"/>
        <v>23.028469532920898</v>
      </c>
      <c r="AA34" s="23">
        <f t="shared" si="23"/>
        <v>99.196593121473242</v>
      </c>
      <c r="AB34" s="23"/>
    </row>
    <row r="35" spans="1:28" x14ac:dyDescent="0.25">
      <c r="A35" s="23">
        <f t="shared" si="17"/>
        <v>11</v>
      </c>
      <c r="B35" s="23">
        <f>EXP(((A35)*((LN('FB analysis'!$B$26*1000)-LN('FB analysis'!$B$25))/50))+LN('FB analysis'!$B$25))</f>
        <v>45.708818961487509</v>
      </c>
      <c r="C35" s="36" t="str">
        <f t="shared" si="1"/>
        <v>287,19697970735i</v>
      </c>
      <c r="D35" s="23" t="str">
        <f t="shared" si="2"/>
        <v>1+0,0011487879188294i</v>
      </c>
      <c r="E35" s="23" t="str">
        <f t="shared" si="3"/>
        <v>1+0,137152330328247i</v>
      </c>
      <c r="F35" s="23" t="str">
        <f t="shared" si="18"/>
        <v>0,00245457685323214i</v>
      </c>
      <c r="G35" s="23" t="str">
        <f t="shared" si="4"/>
        <v>6,09249219713613-0,843706124767535i</v>
      </c>
      <c r="H35" s="23">
        <f t="shared" si="5"/>
        <v>15.778397990705106</v>
      </c>
      <c r="I35" s="23">
        <f t="shared" si="6"/>
        <v>-7.884341480911873</v>
      </c>
      <c r="J35" s="23" t="str">
        <f>IMPRODUCT(Sheet1!$B$12,IMDIV(IMSUM($L$21,IMDIV(C35,Sheet1!$C$12)),IMSUM($L$21,IMDIV(C35,Sheet1!$D$12))))</f>
        <v>0,997152763216101-0,0313744248810539i</v>
      </c>
      <c r="K35" s="23">
        <f t="shared" si="7"/>
        <v>-2.0468739777432205E-2</v>
      </c>
      <c r="L35" s="23">
        <f t="shared" si="8"/>
        <v>-1.8021604542952538</v>
      </c>
      <c r="M35" s="23" t="str">
        <f t="shared" si="9"/>
        <v>6,04867463481362-1,03245233243175i</v>
      </c>
      <c r="N35" s="23">
        <f t="shared" si="10"/>
        <v>15.75792925092767</v>
      </c>
      <c r="O35" s="23">
        <f t="shared" si="11"/>
        <v>-9.686501935207124</v>
      </c>
      <c r="P35" s="23" t="str">
        <f>IMPRODUCT(-Sheet1!$D$6,IMDIV(IMSUM(COMPLEX(1,0),IMDIV(Sheet1!$B$6,C35)),IMSUM(COMPLEX(1,0),IMDIV(C35,Sheet1!$C$6))))</f>
        <v>-0,699786136658391+1,9247956780314i</v>
      </c>
      <c r="Q35" s="23">
        <f t="shared" si="12"/>
        <v>6.22684240797724</v>
      </c>
      <c r="R35" s="23">
        <f t="shared" si="13"/>
        <v>109.97943718402715</v>
      </c>
      <c r="S35" s="23" t="str">
        <f t="shared" si="14"/>
        <v>-2,24551886736176+12,3649586239038i</v>
      </c>
      <c r="T35" s="23">
        <f t="shared" si="15"/>
        <v>21.984771658904929</v>
      </c>
      <c r="U35" s="23">
        <f t="shared" si="16"/>
        <v>100.29293524882002</v>
      </c>
      <c r="V35" s="23" t="str">
        <f>IMPRODUCT(-Sheet1!$J$6,IMDIV(IMSUM(COMPLEX(1,0),IMDIV(Sheet1!$H$6,C35)),IMSUM(COMPLEX(1,0),IMDIV(C35,Sheet1!$I$6))))</f>
        <v>-0,698248261691914+1,91300132658068i</v>
      </c>
      <c r="W35" s="23">
        <f t="shared" si="19"/>
        <v>6.1774709546726783</v>
      </c>
      <c r="X35" s="23">
        <f t="shared" si="20"/>
        <v>110.05215555411849</v>
      </c>
      <c r="Y35" s="23" t="str">
        <f t="shared" si="21"/>
        <v>-2,24839386772533+12,2920306468536i</v>
      </c>
      <c r="Z35" s="23">
        <f t="shared" si="22"/>
        <v>21.935400205600352</v>
      </c>
      <c r="AA35" s="23">
        <f t="shared" si="23"/>
        <v>100.36565361891137</v>
      </c>
      <c r="AB35" s="23"/>
    </row>
    <row r="36" spans="1:28" x14ac:dyDescent="0.25">
      <c r="A36" s="23">
        <f t="shared" si="17"/>
        <v>12</v>
      </c>
      <c r="B36" s="23">
        <f>EXP(((A36)*((LN('FB analysis'!$B$26*1000)-LN('FB analysis'!$B$25))/50))+LN('FB analysis'!$B$25))</f>
        <v>52.480746024977286</v>
      </c>
      <c r="C36" s="36" t="str">
        <f t="shared" si="1"/>
        <v>329,746252333961i</v>
      </c>
      <c r="D36" s="23" t="str">
        <f t="shared" si="2"/>
        <v>1+0,00131898500933584i</v>
      </c>
      <c r="E36" s="23" t="str">
        <f t="shared" si="3"/>
        <v>1+0,157471944763114i</v>
      </c>
      <c r="F36" s="23" t="str">
        <f t="shared" si="18"/>
        <v>0,00281823130328091i</v>
      </c>
      <c r="G36" s="23" t="str">
        <f t="shared" si="4"/>
        <v>6,05655414170511-0,963045009107006i</v>
      </c>
      <c r="H36" s="23">
        <f t="shared" si="5"/>
        <v>15.752952936572544</v>
      </c>
      <c r="I36" s="23">
        <f t="shared" si="6"/>
        <v>-9.03489070789721</v>
      </c>
      <c r="J36" s="23" t="str">
        <f>IMPRODUCT(Sheet1!$B$12,IMDIV(IMSUM($L$21,IMDIV(C36,Sheet1!$C$12)),IMSUM($L$21,IMDIV(C36,Sheet1!$D$12))))</f>
        <v>0,996598301709762-0,0359871646796716i</v>
      </c>
      <c r="K36" s="23">
        <f t="shared" si="7"/>
        <v>-2.3937928454480693E-2</v>
      </c>
      <c r="L36" s="23">
        <f t="shared" si="8"/>
        <v>-2.0680520443552748</v>
      </c>
      <c r="M36" s="23" t="str">
        <f t="shared" si="9"/>
        <v>6,00129431249987-1,17772723183499i</v>
      </c>
      <c r="N36" s="23">
        <f t="shared" si="10"/>
        <v>15.729015008118068</v>
      </c>
      <c r="O36" s="23">
        <f t="shared" si="11"/>
        <v>-11.102942752252453</v>
      </c>
      <c r="P36" s="23" t="str">
        <f>IMPRODUCT(-Sheet1!$D$6,IMDIV(IMSUM(COMPLEX(1,0),IMDIV(Sheet1!$B$6,C36)),IMSUM(COMPLEX(1,0),IMDIV(C36,Sheet1!$C$6))))</f>
        <v>-0,699779034503185+1,67752231504328i</v>
      </c>
      <c r="Q36" s="23">
        <f t="shared" si="12"/>
        <v>5.1901004376849826</v>
      </c>
      <c r="R36" s="23">
        <f t="shared" si="13"/>
        <v>112.64347474496053</v>
      </c>
      <c r="S36" s="23" t="str">
        <f t="shared" si="14"/>
        <v>-2,22391622733326+10,8914539535624i</v>
      </c>
      <c r="T36" s="23">
        <f t="shared" si="15"/>
        <v>20.919115445803008</v>
      </c>
      <c r="U36" s="23">
        <f t="shared" si="16"/>
        <v>101.54053199270808</v>
      </c>
      <c r="V36" s="23" t="str">
        <f>IMPRODUCT(-Sheet1!$J$6,IMDIV(IMSUM(COMPLEX(1,0),IMDIV(Sheet1!$H$6,C36)),IMSUM(COMPLEX(1,0),IMDIV(C36,Sheet1!$I$6))))</f>
        <v>-0,698241174253432+1,66724752587893i</v>
      </c>
      <c r="W36" s="23">
        <f t="shared" si="19"/>
        <v>5.1418303789511004</v>
      </c>
      <c r="X36" s="23">
        <f t="shared" si="20"/>
        <v>112.72387440467884</v>
      </c>
      <c r="Y36" s="23" t="str">
        <f t="shared" si="21"/>
        <v>-2,22678797436322+10,8279807398934i</v>
      </c>
      <c r="Z36" s="23">
        <f t="shared" si="22"/>
        <v>20.87084538706916</v>
      </c>
      <c r="AA36" s="23">
        <f t="shared" si="23"/>
        <v>101.62093165242636</v>
      </c>
      <c r="AB36" s="23"/>
    </row>
    <row r="37" spans="1:28" x14ac:dyDescent="0.25">
      <c r="A37" s="23">
        <f t="shared" si="17"/>
        <v>13</v>
      </c>
      <c r="B37" s="23">
        <f>EXP(((A37)*((LN('FB analysis'!$B$26*1000)-LN('FB analysis'!$B$25))/50))+LN('FB analysis'!$B$25))</f>
        <v>60.255958607435822</v>
      </c>
      <c r="C37" s="36" t="str">
        <f t="shared" si="1"/>
        <v>378,599353792262i</v>
      </c>
      <c r="D37" s="23" t="str">
        <f t="shared" si="2"/>
        <v>1+0,00151439741516905i</v>
      </c>
      <c r="E37" s="23" t="str">
        <f t="shared" si="3"/>
        <v>1+0,180801983663926i</v>
      </c>
      <c r="F37" s="23" t="str">
        <f t="shared" si="18"/>
        <v>0,00323576247707785i</v>
      </c>
      <c r="G37" s="23" t="str">
        <f t="shared" si="4"/>
        <v>6,00981525120178-1,09727313371361i</v>
      </c>
      <c r="H37" s="23">
        <f t="shared" si="5"/>
        <v>15.719636015754109</v>
      </c>
      <c r="I37" s="23">
        <f t="shared" si="6"/>
        <v>-10.347102823557011</v>
      </c>
      <c r="J37" s="23" t="str">
        <f>IMPRODUCT(Sheet1!$B$12,IMDIV(IMSUM($L$21,IMDIV(C37,Sheet1!$C$12)),IMSUM($L$21,IMDIV(C37,Sheet1!$D$12))))</f>
        <v>0,995869046566446-0,0412651923560309i</v>
      </c>
      <c r="K37" s="23">
        <f t="shared" si="7"/>
        <v>-2.850500010513423E-2</v>
      </c>
      <c r="L37" s="23">
        <f t="shared" si="8"/>
        <v>-2.3727714052042423</v>
      </c>
      <c r="M37" s="23" t="str">
        <f t="shared" si="9"/>
        <v>5,93970979732501-1,3407365318594i</v>
      </c>
      <c r="N37" s="23">
        <f t="shared" si="10"/>
        <v>15.691131015648981</v>
      </c>
      <c r="O37" s="23">
        <f t="shared" si="11"/>
        <v>-12.719874228761256</v>
      </c>
      <c r="P37" s="23" t="str">
        <f>IMPRODUCT(-Sheet1!$D$6,IMDIV(IMSUM(COMPLEX(1,0),IMDIV(Sheet1!$B$6,C37)),IMSUM(COMPLEX(1,0),IMDIV(C37,Sheet1!$C$6))))</f>
        <v>-0,699769672259505+1,46231847127938i</v>
      </c>
      <c r="Q37" s="23">
        <f t="shared" si="12"/>
        <v>4.1963410381183275</v>
      </c>
      <c r="R37" s="23">
        <f t="shared" si="13"/>
        <v>115.57271788653196</v>
      </c>
      <c r="S37" s="23" t="str">
        <f t="shared" si="14"/>
        <v>-2,19584498253364+9,62395411415306i</v>
      </c>
      <c r="T37" s="23">
        <f t="shared" si="15"/>
        <v>19.887472053767304</v>
      </c>
      <c r="U37" s="23">
        <f t="shared" si="16"/>
        <v>102.85284365777071</v>
      </c>
      <c r="V37" s="23" t="str">
        <f>IMPRODUCT(-Sheet1!$J$6,IMDIV(IMSUM(COMPLEX(1,0),IMDIV(Sheet1!$H$6,C37)),IMSUM(COMPLEX(1,0),IMDIV(C37,Sheet1!$I$6))))</f>
        <v>-0,698231831409743+1,45336681914379i</v>
      </c>
      <c r="W37" s="23">
        <f t="shared" si="19"/>
        <v>4.1494040738634821</v>
      </c>
      <c r="X37" s="23">
        <f t="shared" si="20"/>
        <v>115.66073184546723</v>
      </c>
      <c r="Y37" s="23" t="str">
        <f t="shared" si="21"/>
        <v>-2,19871246121026+9,56872205885359i</v>
      </c>
      <c r="Z37" s="23">
        <f t="shared" si="22"/>
        <v>19.840535089512457</v>
      </c>
      <c r="AA37" s="23">
        <f t="shared" si="23"/>
        <v>102.94085761670596</v>
      </c>
      <c r="AB37" s="23"/>
    </row>
    <row r="38" spans="1:28" x14ac:dyDescent="0.25">
      <c r="A38" s="23">
        <f t="shared" si="17"/>
        <v>14</v>
      </c>
      <c r="B38" s="23">
        <f>EXP(((A38)*((LN('FB analysis'!$B$26*1000)-LN('FB analysis'!$B$25))/50))+LN('FB analysis'!$B$25))</f>
        <v>69.183097091893657</v>
      </c>
      <c r="C38" s="36" t="str">
        <f t="shared" si="1"/>
        <v>434,690219152965i</v>
      </c>
      <c r="D38" s="23" t="str">
        <f t="shared" si="2"/>
        <v>1+0,00173876087661186i</v>
      </c>
      <c r="E38" s="23" t="str">
        <f t="shared" si="3"/>
        <v>1+0,207588452317557i</v>
      </c>
      <c r="F38" s="23" t="str">
        <f t="shared" si="18"/>
        <v>0,00371515240636066i</v>
      </c>
      <c r="G38" s="23" t="str">
        <f t="shared" si="4"/>
        <v>5,94928208287928-1,24727213999893i</v>
      </c>
      <c r="H38" s="23">
        <f t="shared" si="5"/>
        <v>15.67610271284526</v>
      </c>
      <c r="I38" s="23">
        <f t="shared" si="6"/>
        <v>-11.840618776142575</v>
      </c>
      <c r="J38" s="23" t="str">
        <f>IMPRODUCT(Sheet1!$B$12,IMDIV(IMSUM($L$21,IMDIV(C38,Sheet1!$C$12)),IMSUM($L$21,IMDIV(C38,Sheet1!$D$12))))</f>
        <v>0,994910587250382-0,0472978950674551i</v>
      </c>
      <c r="K38" s="23">
        <f t="shared" si="7"/>
        <v>-3.4514811416993099E-2</v>
      </c>
      <c r="L38" s="23">
        <f t="shared" si="8"/>
        <v>-2.7217832657361303</v>
      </c>
      <c r="M38" s="23" t="str">
        <f t="shared" si="9"/>
        <v>5,86001038399737-1,52231277695009i</v>
      </c>
      <c r="N38" s="23">
        <f t="shared" si="10"/>
        <v>15.641587901428268</v>
      </c>
      <c r="O38" s="23">
        <f t="shared" si="11"/>
        <v>-14.5624020418787</v>
      </c>
      <c r="P38" s="23" t="str">
        <f>IMPRODUCT(-Sheet1!$D$6,IMDIV(IMSUM(COMPLEX(1,0),IMDIV(Sheet1!$B$6,C38)),IMSUM(COMPLEX(1,0),IMDIV(C38,Sheet1!$C$6))))</f>
        <v>-0,699757330801469+1,2750700341588i</v>
      </c>
      <c r="Q38" s="23">
        <f t="shared" si="12"/>
        <v>3.2540562145384024</v>
      </c>
      <c r="R38" s="23">
        <f t="shared" si="13"/>
        <v>118.75794197373068</v>
      </c>
      <c r="S38" s="23" t="str">
        <f t="shared" si="14"/>
        <v>-2,15952982026876+8,53717316593802i</v>
      </c>
      <c r="T38" s="23">
        <f t="shared" si="15"/>
        <v>18.895644115966675</v>
      </c>
      <c r="U38" s="23">
        <f t="shared" si="16"/>
        <v>104.19553993185195</v>
      </c>
      <c r="V38" s="23" t="str">
        <f>IMPRODUCT(-Sheet1!$J$6,IMDIV(IMSUM(COMPLEX(1,0),IMDIV(Sheet1!$H$6,C38)),IMSUM(COMPLEX(1,0),IMDIV(C38,Sheet1!$I$6))))</f>
        <v>-0,698219515525131+1,26727038851521i</v>
      </c>
      <c r="W38" s="23">
        <f t="shared" si="19"/>
        <v>3.208697973590251</v>
      </c>
      <c r="X38" s="23">
        <f t="shared" si="20"/>
        <v>118.85315258538265</v>
      </c>
      <c r="Y38" s="23" t="str">
        <f t="shared" si="21"/>
        <v>-2,16239170699967+8,48912612563132i</v>
      </c>
      <c r="Z38" s="23">
        <f t="shared" si="22"/>
        <v>18.850285875018518</v>
      </c>
      <c r="AA38" s="23">
        <f t="shared" si="23"/>
        <v>104.29075054350395</v>
      </c>
      <c r="AB38" s="23"/>
    </row>
    <row r="39" spans="1:28" x14ac:dyDescent="0.25">
      <c r="A39" s="23">
        <f t="shared" si="17"/>
        <v>15</v>
      </c>
      <c r="B39" s="23">
        <f>EXP(((A39)*((LN('FB analysis'!$B$26*1000)-LN('FB analysis'!$B$25))/50))+LN('FB analysis'!$B$25))</f>
        <v>79.432823472428197</v>
      </c>
      <c r="C39" s="36" t="str">
        <f t="shared" si="1"/>
        <v>499,091149349751i</v>
      </c>
      <c r="D39" s="23" t="str">
        <f t="shared" si="2"/>
        <v>1+0,001996364597399i</v>
      </c>
      <c r="E39" s="23" t="str">
        <f t="shared" si="3"/>
        <v>1+0,238343433309337i</v>
      </c>
      <c r="F39" s="23" t="str">
        <f t="shared" si="18"/>
        <v>0,00426556568977585i</v>
      </c>
      <c r="G39" s="23" t="str">
        <f t="shared" si="4"/>
        <v>5,8713049637688-1,4134746970248i</v>
      </c>
      <c r="H39" s="23">
        <f t="shared" si="5"/>
        <v>15.619373434986489</v>
      </c>
      <c r="I39" s="23">
        <f t="shared" si="6"/>
        <v>-13.535970663315476</v>
      </c>
      <c r="J39" s="23" t="str">
        <f>IMPRODUCT(Sheet1!$B$12,IMDIV(IMSUM($L$21,IMDIV(C39,Sheet1!$C$12)),IMSUM($L$21,IMDIV(C39,Sheet1!$D$12))))</f>
        <v>0,993652081136259-0,0541833085766732i</v>
      </c>
      <c r="K39" s="23">
        <f t="shared" si="7"/>
        <v>-4.2418651431083865E-2</v>
      </c>
      <c r="L39" s="23">
        <f t="shared" si="8"/>
        <v>-3.1212165968029937</v>
      </c>
      <c r="M39" s="23" t="str">
        <f t="shared" si="9"/>
        <v>5,7574476605603-1,72262880293177i</v>
      </c>
      <c r="N39" s="23">
        <f t="shared" si="10"/>
        <v>15.576954783555401</v>
      </c>
      <c r="O39" s="23">
        <f t="shared" si="11"/>
        <v>-16.657187260118445</v>
      </c>
      <c r="P39" s="23" t="str">
        <f>IMPRODUCT(-Sheet1!$D$6,IMDIV(IMSUM(COMPLEX(1,0),IMDIV(Sheet1!$B$6,C39)),IMSUM(COMPLEX(1,0),IMDIV(C39,Sheet1!$C$6))))</f>
        <v>-0,699741062256414+1,11219731271934i</v>
      </c>
      <c r="Q39" s="23">
        <f t="shared" si="12"/>
        <v>2.3719687197210018</v>
      </c>
      <c r="R39" s="23">
        <f t="shared" si="13"/>
        <v>122.17612878776237</v>
      </c>
      <c r="S39" s="23" t="str">
        <f t="shared" si="14"/>
        <v>-2,11281941645252+7,60881192463439i</v>
      </c>
      <c r="T39" s="23">
        <f t="shared" si="15"/>
        <v>17.948923503276404</v>
      </c>
      <c r="U39" s="23">
        <f t="shared" si="16"/>
        <v>105.51894152764392</v>
      </c>
      <c r="V39" s="23" t="str">
        <f>IMPRODUCT(-Sheet1!$J$6,IMDIV(IMSUM(COMPLEX(1,0),IMDIV(Sheet1!$H$6,C39)),IMSUM(COMPLEX(1,0),IMDIV(C39,Sheet1!$I$6))))</f>
        <v>-0,698203280691119+1,10540056622894i</v>
      </c>
      <c r="W39" s="23">
        <f t="shared" si="19"/>
        <v>2.3284325069112826</v>
      </c>
      <c r="X39" s="23">
        <f t="shared" si="20"/>
        <v>122.27770271256645</v>
      </c>
      <c r="Y39" s="23" t="str">
        <f t="shared" si="21"/>
        <v>-2,11567399084755+7,56703098563682i</v>
      </c>
      <c r="Z39" s="23">
        <f t="shared" si="22"/>
        <v>17.905387290466688</v>
      </c>
      <c r="AA39" s="23">
        <f t="shared" si="23"/>
        <v>105.620515452448</v>
      </c>
      <c r="AB39" s="23"/>
    </row>
    <row r="40" spans="1:28" x14ac:dyDescent="0.25">
      <c r="A40" s="23">
        <f t="shared" si="17"/>
        <v>16</v>
      </c>
      <c r="B40" s="23">
        <f>EXP(((A40)*((LN('FB analysis'!$B$26*1000)-LN('FB analysis'!$B$25))/50))+LN('FB analysis'!$B$25))</f>
        <v>91.201083935591043</v>
      </c>
      <c r="C40" s="36" t="str">
        <f t="shared" si="1"/>
        <v>573,033310582958i</v>
      </c>
      <c r="D40" s="23" t="str">
        <f t="shared" si="2"/>
        <v>1+0,00229213324233183i</v>
      </c>
      <c r="E40" s="23" t="str">
        <f t="shared" si="3"/>
        <v>1+0,273654876114116i</v>
      </c>
      <c r="F40" s="23" t="str">
        <f t="shared" si="18"/>
        <v>0,00489752469444899i</v>
      </c>
      <c r="G40" s="23" t="str">
        <f t="shared" si="4"/>
        <v>5,77155163414971-1,59558811748796i</v>
      </c>
      <c r="H40" s="23">
        <f t="shared" si="5"/>
        <v>15.545704351997543</v>
      </c>
      <c r="I40" s="23">
        <f t="shared" si="6"/>
        <v>-15.453853858141377</v>
      </c>
      <c r="J40" s="23" t="str">
        <f>IMPRODUCT(Sheet1!$B$12,IMDIV(IMSUM($L$21,IMDIV(C40,Sheet1!$C$12)),IMSUM($L$21,IMDIV(C40,Sheet1!$D$12))))</f>
        <v>0,99200165771931-0,0620271548272877i</v>
      </c>
      <c r="K40" s="23">
        <f t="shared" si="7"/>
        <v>-5.2805712608883837E-2</v>
      </c>
      <c r="L40" s="23">
        <f t="shared" si="8"/>
        <v>-3.5778907103860913</v>
      </c>
      <c r="M40" s="23" t="str">
        <f t="shared" si="9"/>
        <v>5,6264189974851-1,94081898439038i</v>
      </c>
      <c r="N40" s="23">
        <f t="shared" si="10"/>
        <v>15.49289863938866</v>
      </c>
      <c r="O40" s="23">
        <f t="shared" si="11"/>
        <v>-19.031744568527476</v>
      </c>
      <c r="P40" s="23" t="str">
        <f>IMPRODUCT(-Sheet1!$D$6,IMDIV(IMSUM(COMPLEX(1,0),IMDIV(Sheet1!$B$6,C40)),IMSUM(COMPLEX(1,0),IMDIV(C40,Sheet1!$C$6))))</f>
        <v>-0,69971961729311+0,970586599903914i</v>
      </c>
      <c r="Q40" s="23">
        <f t="shared" si="12"/>
        <v>1.5583561104710422</v>
      </c>
      <c r="R40" s="23">
        <f t="shared" si="13"/>
        <v>125.78875570577564</v>
      </c>
      <c r="S40" s="23" t="str">
        <f t="shared" si="14"/>
        <v>-2,05318284856253+6,81895600139669i</v>
      </c>
      <c r="T40" s="23">
        <f t="shared" si="15"/>
        <v>17.051254749859702</v>
      </c>
      <c r="U40" s="23">
        <f t="shared" si="16"/>
        <v>106.75701113724817</v>
      </c>
      <c r="V40" s="23" t="str">
        <f>IMPRODUCT(-Sheet1!$J$6,IMDIV(IMSUM(COMPLEX(1,0),IMDIV(Sheet1!$H$6,C40)),IMSUM(COMPLEX(1,0),IMDIV(C40,Sheet1!$I$6))))</f>
        <v>-0,698181880165376+0,964662817932966i</v>
      </c>
      <c r="W40" s="23">
        <f t="shared" si="19"/>
        <v>1.516861203039013</v>
      </c>
      <c r="X40" s="23">
        <f t="shared" si="20"/>
        <v>125.89541876554729</v>
      </c>
      <c r="Y40" s="23" t="str">
        <f t="shared" si="21"/>
        <v>-2,05602788368252+6,78264185256788i</v>
      </c>
      <c r="Z40" s="23">
        <f t="shared" si="22"/>
        <v>17.009759842427677</v>
      </c>
      <c r="AA40" s="23">
        <f t="shared" si="23"/>
        <v>106.86367419701983</v>
      </c>
      <c r="AB40" s="23"/>
    </row>
    <row r="41" spans="1:28" x14ac:dyDescent="0.25">
      <c r="A41" s="23">
        <f t="shared" si="17"/>
        <v>17</v>
      </c>
      <c r="B41" s="23">
        <f>EXP(((A41)*((LN('FB analysis'!$B$26*1000)-LN('FB analysis'!$B$25))/50))+LN('FB analysis'!$B$25))</f>
        <v>104.71285480508998</v>
      </c>
      <c r="C41" s="36" t="str">
        <f t="shared" si="1"/>
        <v>657,930270784171i</v>
      </c>
      <c r="D41" s="23" t="str">
        <f t="shared" si="2"/>
        <v>1+0,00263172108313668i</v>
      </c>
      <c r="E41" s="23" t="str">
        <f t="shared" si="3"/>
        <v>1+0,314197837050702i</v>
      </c>
      <c r="F41" s="23" t="str">
        <f t="shared" si="18"/>
        <v>0,00562311071430202i</v>
      </c>
      <c r="G41" s="23" t="str">
        <f t="shared" si="4"/>
        <v>5,64506745955495-1,79223923696665i</v>
      </c>
      <c r="H41" s="23">
        <f t="shared" si="5"/>
        <v>15.450460667020279</v>
      </c>
      <c r="I41" s="23">
        <f t="shared" si="6"/>
        <v>-17.614000817532681</v>
      </c>
      <c r="J41" s="23" t="str">
        <f>IMPRODUCT(Sheet1!$B$12,IMDIV(IMSUM($L$21,IMDIV(C41,Sheet1!$C$12)),IMSUM($L$21,IMDIV(C41,Sheet1!$D$12))))</f>
        <v>0,989840804336737-0,0709406958326644i</v>
      </c>
      <c r="K41" s="23">
        <f t="shared" si="7"/>
        <v>-6.6442866729355066E-2</v>
      </c>
      <c r="L41" s="23">
        <f t="shared" si="8"/>
        <v>-4.0993103688505297</v>
      </c>
      <c r="M41" s="23" t="str">
        <f t="shared" si="9"/>
        <v>5,46057541613199-2,17449654148609i</v>
      </c>
      <c r="N41" s="23">
        <f t="shared" si="10"/>
        <v>15.384017800290922</v>
      </c>
      <c r="O41" s="23">
        <f t="shared" si="11"/>
        <v>-21.713311186383244</v>
      </c>
      <c r="P41" s="23" t="str">
        <f>IMPRODUCT(-Sheet1!$D$6,IMDIV(IMSUM(COMPLEX(1,0),IMDIV(Sheet1!$B$6,C41)),IMSUM(COMPLEX(1,0),IMDIV(C41,Sheet1!$C$6))))</f>
        <v>-0,699691349334159+0,847530641104796i</v>
      </c>
      <c r="Q41" s="23">
        <f t="shared" si="12"/>
        <v>0.82022413922809023</v>
      </c>
      <c r="R41" s="23">
        <f t="shared" si="13"/>
        <v>129.54187644676824</v>
      </c>
      <c r="S41" s="23" t="str">
        <f t="shared" si="14"/>
        <v>-1,97776493316847+6,1494814024703i</v>
      </c>
      <c r="T41" s="23">
        <f t="shared" si="15"/>
        <v>16.204241939519019</v>
      </c>
      <c r="U41" s="23">
        <f t="shared" si="16"/>
        <v>107.82856526038506</v>
      </c>
      <c r="V41" s="23" t="str">
        <f>IMPRODUCT(-Sheet1!$J$6,IMDIV(IMSUM(COMPLEX(1,0),IMDIV(Sheet1!$H$6,C41)),IMSUM(COMPLEX(1,0),IMDIV(C41,Sheet1!$I$6))))</f>
        <v>-0,698153670782628+0,842366577772731i</v>
      </c>
      <c r="W41" s="23">
        <f t="shared" si="19"/>
        <v>0.78094150179939315</v>
      </c>
      <c r="X41" s="23">
        <f t="shared" si="20"/>
        <v>129.65194936965742</v>
      </c>
      <c r="Y41" s="23" t="str">
        <f t="shared" si="21"/>
        <v>-1,98059756132765+6,11793896849966i</v>
      </c>
      <c r="Z41" s="23">
        <f t="shared" si="22"/>
        <v>16.16495930209032</v>
      </c>
      <c r="AA41" s="23">
        <f t="shared" si="23"/>
        <v>107.93863818327419</v>
      </c>
      <c r="AB41" s="23"/>
    </row>
    <row r="42" spans="1:28" x14ac:dyDescent="0.25">
      <c r="A42" s="23">
        <f t="shared" si="17"/>
        <v>18</v>
      </c>
      <c r="B42" s="23">
        <f>EXP(((A42)*((LN('FB analysis'!$B$26*1000)-LN('FB analysis'!$B$25))/50))+LN('FB analysis'!$B$25))</f>
        <v>120.22644346174135</v>
      </c>
      <c r="C42" s="36" t="str">
        <f t="shared" si="1"/>
        <v>755,405023093271i</v>
      </c>
      <c r="D42" s="23" t="str">
        <f t="shared" si="2"/>
        <v>1+0,00302162009237308i</v>
      </c>
      <c r="E42" s="23" t="str">
        <f t="shared" si="3"/>
        <v>1+0,360747384476252i</v>
      </c>
      <c r="F42" s="23" t="str">
        <f t="shared" si="18"/>
        <v>0,00645619493070379i</v>
      </c>
      <c r="G42" s="23" t="str">
        <f t="shared" si="4"/>
        <v>5,48648057429744-2,00055618995461i</v>
      </c>
      <c r="H42" s="23">
        <f t="shared" si="5"/>
        <v>15.328014249448614</v>
      </c>
      <c r="I42" s="23">
        <f t="shared" si="6"/>
        <v>-20.033564265736391</v>
      </c>
      <c r="J42" s="23" t="str">
        <f>IMPRODUCT(Sheet1!$B$12,IMDIV(IMSUM($L$21,IMDIV(C42,Sheet1!$C$12)),IMSUM($L$21,IMDIV(C42,Sheet1!$D$12))))</f>
        <v>0,987017707904872-0,0810367981853182i</v>
      </c>
      <c r="K42" s="23">
        <f t="shared" si="7"/>
        <v>-8.4324202474030024E-2</v>
      </c>
      <c r="L42" s="23">
        <f t="shared" si="8"/>
        <v>-4.6936095869157146</v>
      </c>
      <c r="M42" s="23" t="str">
        <f t="shared" si="9"/>
        <v>5,25313481268392-2,41919120419091i</v>
      </c>
      <c r="N42" s="23">
        <f t="shared" si="10"/>
        <v>15.243690046974578</v>
      </c>
      <c r="O42" s="23">
        <f t="shared" si="11"/>
        <v>-24.727173852652097</v>
      </c>
      <c r="P42" s="23" t="str">
        <f>IMPRODUCT(-Sheet1!$D$6,IMDIV(IMSUM(COMPLEX(1,0),IMDIV(Sheet1!$B$6,C42)),IMSUM(COMPLEX(1,0),IMDIV(C42,Sheet1!$C$6))))</f>
        <v>-0,699654088396609+0,740676869837219i</v>
      </c>
      <c r="Q42" s="23">
        <f t="shared" si="12"/>
        <v>0.16246750203417443</v>
      </c>
      <c r="R42" s="23">
        <f t="shared" si="13"/>
        <v>133.36857148512692</v>
      </c>
      <c r="S42" s="23" t="str">
        <f t="shared" si="14"/>
        <v>-1,883538279935+5,58347246651694i</v>
      </c>
      <c r="T42" s="23">
        <f t="shared" si="15"/>
        <v>15.406157549008753</v>
      </c>
      <c r="U42" s="23">
        <f t="shared" si="16"/>
        <v>108.64139763247478</v>
      </c>
      <c r="V42" s="23" t="str">
        <f>IMPRODUCT(-Sheet1!$J$6,IMDIV(IMSUM(COMPLEX(1,0),IMDIV(Sheet1!$H$6,C42)),IMSUM(COMPLEX(1,0),IMDIV(C42,Sheet1!$I$6))))</f>
        <v>-0,698116487056759+0,736173803125472i</v>
      </c>
      <c r="W42" s="23">
        <f t="shared" si="19"/>
        <v>0.12549777563055609</v>
      </c>
      <c r="X42" s="23">
        <f t="shared" si="20"/>
        <v>133.48007611129378</v>
      </c>
      <c r="Y42" s="23" t="str">
        <f t="shared" si="21"/>
        <v>-1,88635483218955+5,55609749837271i</v>
      </c>
      <c r="Z42" s="23">
        <f t="shared" si="22"/>
        <v>15.369187822605141</v>
      </c>
      <c r="AA42" s="23">
        <f t="shared" si="23"/>
        <v>108.75290225864165</v>
      </c>
      <c r="AB42" s="23"/>
    </row>
    <row r="43" spans="1:28" x14ac:dyDescent="0.25">
      <c r="A43" s="23">
        <f t="shared" si="17"/>
        <v>19</v>
      </c>
      <c r="B43" s="23">
        <f>EXP(((A43)*((LN('FB analysis'!$B$26*1000)-LN('FB analysis'!$B$25))/50))+LN('FB analysis'!$B$25))</f>
        <v>138.0384264602886</v>
      </c>
      <c r="C43" s="36" t="str">
        <f t="shared" si="1"/>
        <v>867,321012961475i</v>
      </c>
      <c r="D43" s="23" t="str">
        <f t="shared" si="2"/>
        <v>1+0,0034692840518459i</v>
      </c>
      <c r="E43" s="23" t="str">
        <f t="shared" si="3"/>
        <v>1+0,414193415931936i</v>
      </c>
      <c r="F43" s="23" t="str">
        <f t="shared" si="18"/>
        <v>0,00741270359077737i</v>
      </c>
      <c r="G43" s="23" t="str">
        <f t="shared" si="4"/>
        <v>5,29041953464501-2,21573867834424i</v>
      </c>
      <c r="H43" s="23">
        <f t="shared" si="5"/>
        <v>15.171699813236017</v>
      </c>
      <c r="I43" s="23">
        <f t="shared" si="6"/>
        <v>-22.724958037873236</v>
      </c>
      <c r="J43" s="23" t="str">
        <f>IMPRODUCT(Sheet1!$B$12,IMDIV(IMSUM($L$21,IMDIV(C43,Sheet1!$C$12)),IMSUM($L$21,IMDIV(C43,Sheet1!$D$12))))</f>
        <v>0,983339704360174-0,0924233858222987i</v>
      </c>
      <c r="K43" s="23">
        <f t="shared" si="7"/>
        <v>-0.10773146354187803</v>
      </c>
      <c r="L43" s="23">
        <f t="shared" si="8"/>
        <v>-5.3694147406596073</v>
      </c>
      <c r="M43" s="23" t="str">
        <f t="shared" si="9"/>
        <v>4,99749351038911-2,66778230271475i</v>
      </c>
      <c r="N43" s="23">
        <f t="shared" si="10"/>
        <v>15.063968349694134</v>
      </c>
      <c r="O43" s="23">
        <f t="shared" si="11"/>
        <v>-28.094372778532872</v>
      </c>
      <c r="P43" s="23" t="str">
        <f>IMPRODUCT(-Sheet1!$D$6,IMDIV(IMSUM(COMPLEX(1,0),IMDIV(Sheet1!$B$6,C43)),IMSUM(COMPLEX(1,0),IMDIV(C43,Sheet1!$C$6))))</f>
        <v>-0,69960497497822+0,647982419359719i</v>
      </c>
      <c r="Q43" s="23">
        <f t="shared" si="12"/>
        <v>-0.41279275062492399</v>
      </c>
      <c r="R43" s="23">
        <f t="shared" si="13"/>
        <v>137.19377908838845</v>
      </c>
      <c r="S43" s="23" t="str">
        <f t="shared" si="14"/>
        <v>-1,76759529145145+5,10468170673452i</v>
      </c>
      <c r="T43" s="23">
        <f t="shared" si="15"/>
        <v>14.651175599069211</v>
      </c>
      <c r="U43" s="23">
        <f t="shared" si="16"/>
        <v>109.09940630985562</v>
      </c>
      <c r="V43" s="23" t="str">
        <f>IMPRODUCT(-Sheet1!$J$6,IMDIV(IMSUM(COMPLEX(1,0),IMDIV(Sheet1!$H$6,C43)),IMSUM(COMPLEX(1,0),IMDIV(C43,Sheet1!$I$6))))</f>
        <v>-0,698067475411384+0,644054263904242i</v>
      </c>
      <c r="W43" s="23">
        <f t="shared" si="19"/>
        <v>-0.44743345705693682</v>
      </c>
      <c r="X43" s="23">
        <f t="shared" si="20"/>
        <v>137.30460457872803</v>
      </c>
      <c r="Y43" s="23" t="str">
        <f t="shared" si="21"/>
        <v>-1,77039111095039+5,08094906120314i</v>
      </c>
      <c r="Z43" s="23">
        <f t="shared" si="22"/>
        <v>14.616534892637198</v>
      </c>
      <c r="AA43" s="23">
        <f t="shared" si="23"/>
        <v>109.21023180019516</v>
      </c>
      <c r="AB43" s="23"/>
    </row>
    <row r="44" spans="1:28" x14ac:dyDescent="0.25">
      <c r="A44" s="23">
        <f t="shared" si="17"/>
        <v>20</v>
      </c>
      <c r="B44" s="23">
        <f>EXP(((A44)*((LN('FB analysis'!$B$26*1000)-LN('FB analysis'!$B$25))/50))+LN('FB analysis'!$B$25))</f>
        <v>158.48931924611139</v>
      </c>
      <c r="C44" s="36" t="str">
        <f t="shared" si="1"/>
        <v>995,817762032062i</v>
      </c>
      <c r="D44" s="23" t="str">
        <f t="shared" si="2"/>
        <v>1+0,00398327104812825i</v>
      </c>
      <c r="E44" s="23" t="str">
        <f t="shared" si="3"/>
        <v>1+0,475557670502417i</v>
      </c>
      <c r="F44" s="23" t="str">
        <f t="shared" si="18"/>
        <v>0,00851092247283399i</v>
      </c>
      <c r="G44" s="23" t="str">
        <f t="shared" si="4"/>
        <v>5,05219984891653-2,43072124287573i</v>
      </c>
      <c r="H44" s="23">
        <f t="shared" si="5"/>
        <v>14.973876158859436</v>
      </c>
      <c r="I44" s="23">
        <f t="shared" si="6"/>
        <v>-25.693200934155474</v>
      </c>
      <c r="J44" s="23" t="str">
        <f>IMPRODUCT(Sheet1!$B$12,IMDIV(IMSUM($L$21,IMDIV(C44,Sheet1!$C$12)),IMSUM($L$21,IMDIV(C44,Sheet1!$D$12))))</f>
        <v>0,978565317192115-0,105193223632001i</v>
      </c>
      <c r="K44" s="23">
        <f t="shared" si="7"/>
        <v>-0.13830564160142012</v>
      </c>
      <c r="L44" s="23">
        <f t="shared" si="8"/>
        <v>-6.1355858590250794</v>
      </c>
      <c r="M44" s="23" t="str">
        <f t="shared" si="9"/>
        <v>4,68821214438408-2,91007669258094i</v>
      </c>
      <c r="N44" s="23">
        <f t="shared" si="10"/>
        <v>14.835570517258018</v>
      </c>
      <c r="O44" s="23">
        <f t="shared" si="11"/>
        <v>-31.828786793180551</v>
      </c>
      <c r="P44" s="23" t="str">
        <f>IMPRODUCT(-Sheet1!$D$6,IMDIV(IMSUM(COMPLEX(1,0),IMDIV(Sheet1!$B$6,C44)),IMSUM(COMPLEX(1,0),IMDIV(C44,Sheet1!$C$6))))</f>
        <v>-0,699540241418565+0,567675047782081i</v>
      </c>
      <c r="Q44" s="23">
        <f t="shared" si="12"/>
        <v>-0.9065180298509633</v>
      </c>
      <c r="R44" s="23">
        <f t="shared" si="13"/>
        <v>140.94076205179621</v>
      </c>
      <c r="S44" s="23" t="str">
        <f t="shared" si="14"/>
        <v>-1,62761512979348+4,69709680515037i</v>
      </c>
      <c r="T44" s="23">
        <f t="shared" si="15"/>
        <v>13.929052487407048</v>
      </c>
      <c r="U44" s="23">
        <f t="shared" si="16"/>
        <v>109.11197525861569</v>
      </c>
      <c r="V44" s="23" t="str">
        <f>IMPRODUCT(-Sheet1!$J$6,IMDIV(IMSUM(COMPLEX(1,0),IMDIV(Sheet1!$H$6,C44)),IMSUM(COMPLEX(1,0),IMDIV(C44,Sheet1!$I$6))))</f>
        <v>-0,698002875994183+0,56424670928558i</v>
      </c>
      <c r="W44" s="23">
        <f t="shared" si="19"/>
        <v>-0.93890050116618762</v>
      </c>
      <c r="X44" s="23">
        <f t="shared" si="20"/>
        <v>141.0488597609839</v>
      </c>
      <c r="Y44" s="23" t="str">
        <f t="shared" si="21"/>
        <v>-1,63038436249348+4,67655017568654i</v>
      </c>
      <c r="Z44" s="23">
        <f t="shared" si="22"/>
        <v>13.896670016091822</v>
      </c>
      <c r="AA44" s="23">
        <f t="shared" si="23"/>
        <v>109.22007296780332</v>
      </c>
      <c r="AB44" s="23"/>
    </row>
    <row r="45" spans="1:28" x14ac:dyDescent="0.25">
      <c r="A45" s="23">
        <f t="shared" si="17"/>
        <v>21</v>
      </c>
      <c r="B45" s="23">
        <f>EXP(((A45)*((LN('FB analysis'!$B$26*1000)-LN('FB analysis'!$B$25))/50))+LN('FB analysis'!$B$25))</f>
        <v>181.97008586099847</v>
      </c>
      <c r="C45" s="36" t="str">
        <f t="shared" si="1"/>
        <v>1143,35176982803i</v>
      </c>
      <c r="D45" s="23" t="str">
        <f t="shared" si="2"/>
        <v>1+0,00457340707931212i</v>
      </c>
      <c r="E45" s="23" t="str">
        <f t="shared" si="3"/>
        <v>1+0,54601326161797i</v>
      </c>
      <c r="F45" s="23" t="str">
        <f t="shared" si="18"/>
        <v>0,00977184645946352i</v>
      </c>
      <c r="G45" s="23" t="str">
        <f t="shared" si="4"/>
        <v>4,76878510206806-2,63609326905034i</v>
      </c>
      <c r="H45" s="23">
        <f t="shared" si="5"/>
        <v>14.726145723023228</v>
      </c>
      <c r="I45" s="23">
        <f t="shared" si="6"/>
        <v>-28.932978841824387</v>
      </c>
      <c r="J45" s="23" t="str">
        <f>IMPRODUCT(Sheet1!$B$12,IMDIV(IMSUM($L$21,IMDIV(C45,Sheet1!$C$12)),IMSUM($L$21,IMDIV(C45,Sheet1!$D$12))))</f>
        <v>0,972396924255466-0,119408782786069i</v>
      </c>
      <c r="K45" s="23">
        <f t="shared" si="7"/>
        <v>-0.17812813016270887</v>
      </c>
      <c r="L45" s="23">
        <f t="shared" si="8"/>
        <v>-7.0007809305012145</v>
      </c>
      <c r="M45" s="23" t="str">
        <f t="shared" si="9"/>
        <v>4,32237927711842-3,13276381128137i</v>
      </c>
      <c r="N45" s="23">
        <f t="shared" si="10"/>
        <v>14.548017592860516</v>
      </c>
      <c r="O45" s="23">
        <f t="shared" si="11"/>
        <v>-35.933759772325558</v>
      </c>
      <c r="P45" s="23" t="str">
        <f>IMPRODUCT(-Sheet1!$D$6,IMDIV(IMSUM(COMPLEX(1,0),IMDIV(Sheet1!$B$6,C45)),IMSUM(COMPLEX(1,0),IMDIV(C45,Sheet1!$C$6))))</f>
        <v>-0,699454924270019+0,498219226021672i</v>
      </c>
      <c r="Q45" s="23">
        <f t="shared" si="12"/>
        <v>-1.3226177341780778</v>
      </c>
      <c r="R45" s="23">
        <f t="shared" si="13"/>
        <v>144.53786594938282</v>
      </c>
      <c r="S45" s="23" t="str">
        <f t="shared" si="14"/>
        <v>-1,46250630857785+4,34471953239372i</v>
      </c>
      <c r="T45" s="23">
        <f t="shared" si="15"/>
        <v>13.225399858682431</v>
      </c>
      <c r="U45" s="23">
        <f t="shared" si="16"/>
        <v>108.60410617705718</v>
      </c>
      <c r="V45" s="23" t="str">
        <f>IMPRODUCT(-Sheet1!$J$6,IMDIV(IMSUM(COMPLEX(1,0),IMDIV(Sheet1!$H$6,C45)),IMSUM(COMPLEX(1,0),IMDIV(C45,Sheet1!$I$6))))</f>
        <v>-0,697917735644198+0,495225165848154i</v>
      </c>
      <c r="W45" s="23">
        <f t="shared" si="19"/>
        <v>-1.3528894590840483</v>
      </c>
      <c r="X45" s="23">
        <f t="shared" si="20"/>
        <v>144.6414306600839</v>
      </c>
      <c r="Y45" s="23" t="str">
        <f t="shared" si="21"/>
        <v>-1,46524167967698+4,32696241984718i</v>
      </c>
      <c r="Z45" s="23">
        <f t="shared" si="22"/>
        <v>13.195128133776475</v>
      </c>
      <c r="AA45" s="23">
        <f t="shared" si="23"/>
        <v>108.70767088775831</v>
      </c>
      <c r="AB45" s="23"/>
    </row>
    <row r="46" spans="1:28" x14ac:dyDescent="0.25">
      <c r="A46" s="23">
        <f t="shared" si="17"/>
        <v>22</v>
      </c>
      <c r="B46" s="23">
        <f>EXP(((A46)*((LN('FB analysis'!$B$26*1000)-LN('FB analysis'!$B$25))/50))+LN('FB analysis'!$B$25))</f>
        <v>208.92961308540416</v>
      </c>
      <c r="C46" s="36" t="str">
        <f t="shared" si="1"/>
        <v>1312,74347517293i</v>
      </c>
      <c r="D46" s="23" t="str">
        <f t="shared" si="2"/>
        <v>1+0,00525097390069172i</v>
      </c>
      <c r="E46" s="23" t="str">
        <f t="shared" si="3"/>
        <v>1+0,626907103712001i</v>
      </c>
      <c r="F46" s="23" t="str">
        <f t="shared" si="18"/>
        <v>0,0112195809011446i</v>
      </c>
      <c r="G46" s="23" t="str">
        <f t="shared" si="4"/>
        <v>4,43992372904756-2,82047462594142i</v>
      </c>
      <c r="H46" s="23">
        <f t="shared" si="5"/>
        <v>14.419777644220197</v>
      </c>
      <c r="I46" s="23">
        <f t="shared" si="6"/>
        <v>-32.425874284754087</v>
      </c>
      <c r="J46" s="23" t="str">
        <f>IMPRODUCT(Sheet1!$B$12,IMDIV(IMSUM($L$21,IMDIV(C46,Sheet1!$C$12)),IMSUM($L$21,IMDIV(C46,Sheet1!$D$12))))</f>
        <v>0,964475955740252-0,135080923177329i</v>
      </c>
      <c r="K46" s="23">
        <f t="shared" si="7"/>
        <v>-0.22980648186669092</v>
      </c>
      <c r="L46" s="23">
        <f t="shared" si="8"/>
        <v>-7.9727734939763923</v>
      </c>
      <c r="M46" s="23" t="str">
        <f t="shared" si="9"/>
        <v>3,90120736571657-3,32002895665265i</v>
      </c>
      <c r="N46" s="23">
        <f t="shared" si="10"/>
        <v>14.189971162353498</v>
      </c>
      <c r="O46" s="23">
        <f t="shared" si="11"/>
        <v>-40.398647778730449</v>
      </c>
      <c r="P46" s="23" t="str">
        <f>IMPRODUCT(-Sheet1!$D$6,IMDIV(IMSUM(COMPLEX(1,0),IMDIV(Sheet1!$B$6,C46)),IMSUM(COMPLEX(1,0),IMDIV(C46,Sheet1!$C$6))))</f>
        <v>-0,69934248615851+0,438286734815354i</v>
      </c>
      <c r="Q46" s="23">
        <f t="shared" si="12"/>
        <v>-1.6674118809806804</v>
      </c>
      <c r="R46" s="23">
        <f t="shared" si="13"/>
        <v>147.92411024142697</v>
      </c>
      <c r="S46" s="23" t="str">
        <f t="shared" si="14"/>
        <v>-1,2731554072564+4,03168474282124i</v>
      </c>
      <c r="T46" s="23">
        <f t="shared" si="15"/>
        <v>12.522559281372834</v>
      </c>
      <c r="U46" s="23">
        <f t="shared" si="16"/>
        <v>107.52546246269648</v>
      </c>
      <c r="V46" s="23" t="str">
        <f>IMPRODUCT(-Sheet1!$J$6,IMDIV(IMSUM(COMPLEX(1,0),IMDIV(Sheet1!$H$6,C46)),IMSUM(COMPLEX(1,0),IMDIV(C46,Sheet1!$I$6))))</f>
        <v>-0,697805530536686+0,435669717358665i</v>
      </c>
      <c r="W46" s="23">
        <f t="shared" si="19"/>
        <v>-1.6957772872085708</v>
      </c>
      <c r="X46" s="23">
        <f t="shared" si="20"/>
        <v>148.02171074502525</v>
      </c>
      <c r="Y46" s="23" t="str">
        <f t="shared" si="21"/>
        <v>-1,27584799840003+4,01637247787345i</v>
      </c>
      <c r="Z46" s="23">
        <f t="shared" si="22"/>
        <v>12.494193875144939</v>
      </c>
      <c r="AA46" s="23">
        <f t="shared" si="23"/>
        <v>107.62306296629471</v>
      </c>
      <c r="AB46" s="23"/>
    </row>
    <row r="47" spans="1:28" x14ac:dyDescent="0.25">
      <c r="A47" s="23">
        <f t="shared" si="17"/>
        <v>23</v>
      </c>
      <c r="B47" s="23">
        <f>EXP(((A47)*((LN('FB analysis'!$B$26*1000)-LN('FB analysis'!$B$25))/50))+LN('FB analysis'!$B$25))</f>
        <v>239.88329190194912</v>
      </c>
      <c r="C47" s="36" t="str">
        <f t="shared" si="1"/>
        <v>1507,2311751162i</v>
      </c>
      <c r="D47" s="23" t="str">
        <f t="shared" si="2"/>
        <v>1+0,0060289247004648i</v>
      </c>
      <c r="E47" s="23" t="str">
        <f t="shared" si="3"/>
        <v>1+0,719785661469054i</v>
      </c>
      <c r="F47" s="23" t="str">
        <f t="shared" si="18"/>
        <v>0,0128818024433264i</v>
      </c>
      <c r="G47" s="23" t="str">
        <f t="shared" si="4"/>
        <v>4,06921455006578-2,97150719120184i</v>
      </c>
      <c r="H47" s="23">
        <f t="shared" si="5"/>
        <v>14.04634682790196</v>
      </c>
      <c r="I47" s="23">
        <f t="shared" si="6"/>
        <v>-36.1384500372098</v>
      </c>
      <c r="J47" s="23" t="str">
        <f>IMPRODUCT(Sheet1!$B$12,IMDIV(IMSUM($L$21,IMDIV(C47,Sheet1!$C$12)),IMSUM($L$21,IMDIV(C47,Sheet1!$D$12))))</f>
        <v>0,954383730302699-0,152140530894179i</v>
      </c>
      <c r="K47" s="23">
        <f t="shared" si="7"/>
        <v>-0.29655427393329181</v>
      </c>
      <c r="L47" s="23">
        <f t="shared" si="8"/>
        <v>-9.0574431742310786</v>
      </c>
      <c r="M47" s="23" t="str">
        <f t="shared" si="9"/>
        <v>3,43150548006848-3,45505057972983i</v>
      </c>
      <c r="N47" s="23">
        <f t="shared" si="10"/>
        <v>13.749792553968668</v>
      </c>
      <c r="O47" s="23">
        <f t="shared" si="11"/>
        <v>-45.19589321144084</v>
      </c>
      <c r="P47" s="23" t="str">
        <f>IMPRODUCT(-Sheet1!$D$6,IMDIV(IMSUM(COMPLEX(1,0),IMDIV(Sheet1!$B$6,C47)),IMSUM(COMPLEX(1,0),IMDIV(C47,Sheet1!$C$6))))</f>
        <v>-0,699194319085487+0,38673120040397i</v>
      </c>
      <c r="Q47" s="23">
        <f t="shared" si="12"/>
        <v>-1.9488418492423887</v>
      </c>
      <c r="R47" s="23">
        <f t="shared" si="13"/>
        <v>151.05259052575377</v>
      </c>
      <c r="S47" s="23" t="str">
        <f t="shared" si="14"/>
        <v>-1,06311327941925+3,7428219709998i</v>
      </c>
      <c r="T47" s="23">
        <f t="shared" si="15"/>
        <v>11.800950704726279</v>
      </c>
      <c r="U47" s="23">
        <f t="shared" si="16"/>
        <v>105.85669731431294</v>
      </c>
      <c r="V47" s="23" t="str">
        <f>IMPRODUCT(-Sheet1!$J$6,IMDIV(IMSUM(COMPLEX(1,0),IMDIV(Sheet1!$H$6,C47)),IMSUM(COMPLEX(1,0),IMDIV(C47,Sheet1!$I$6))))</f>
        <v>-0,697657670515235+0,384441199332767i</v>
      </c>
      <c r="W47" s="23">
        <f t="shared" si="19"/>
        <v>-1.97553821372858</v>
      </c>
      <c r="X47" s="23">
        <f t="shared" si="20"/>
        <v>151.14323097095544</v>
      </c>
      <c r="Y47" s="23" t="str">
        <f t="shared" si="21"/>
        <v>-1,06575233095813+3,72965462124112i</v>
      </c>
      <c r="Z47" s="23">
        <f t="shared" si="22"/>
        <v>11.774254340240098</v>
      </c>
      <c r="AA47" s="23">
        <f t="shared" si="23"/>
        <v>105.94733775951455</v>
      </c>
      <c r="AB47" s="23"/>
    </row>
    <row r="48" spans="1:28" x14ac:dyDescent="0.25">
      <c r="A48" s="23">
        <f t="shared" si="17"/>
        <v>24</v>
      </c>
      <c r="B48" s="23">
        <f>EXP(((A48)*((LN('FB analysis'!$B$26*1000)-LN('FB analysis'!$B$25))/50))+LN('FB analysis'!$B$25))</f>
        <v>275.42287033381683</v>
      </c>
      <c r="C48" s="36" t="str">
        <f t="shared" si="1"/>
        <v>1730,53293214267i</v>
      </c>
      <c r="D48" s="23" t="str">
        <f t="shared" si="2"/>
        <v>1+0,00692213172857068i</v>
      </c>
      <c r="E48" s="23" t="str">
        <f t="shared" si="3"/>
        <v>1+0,826424513917225i</v>
      </c>
      <c r="F48" s="23" t="str">
        <f t="shared" si="18"/>
        <v>0,0147902881267126i</v>
      </c>
      <c r="G48" s="23" t="str">
        <f t="shared" si="4"/>
        <v>3,66472237947893-3,07746477995185i</v>
      </c>
      <c r="H48" s="23">
        <f t="shared" si="5"/>
        <v>13.598540597044593</v>
      </c>
      <c r="I48" s="23">
        <f t="shared" si="6"/>
        <v>-40.021989898452915</v>
      </c>
      <c r="J48" s="23" t="str">
        <f>IMPRODUCT(Sheet1!$B$12,IMDIV(IMSUM($L$21,IMDIV(C48,Sheet1!$C$12)),IMSUM($L$21,IMDIV(C48,Sheet1!$D$12))))</f>
        <v>0,941652473187024-0,170403443228104i</v>
      </c>
      <c r="K48" s="23">
        <f t="shared" si="7"/>
        <v>-0.38224631183130131</v>
      </c>
      <c r="L48" s="23">
        <f t="shared" si="8"/>
        <v>-10.257361061129544</v>
      </c>
      <c r="M48" s="23" t="str">
        <f t="shared" si="9"/>
        <v>2,92648429726316-3,52238363312592i</v>
      </c>
      <c r="N48" s="23">
        <f t="shared" si="10"/>
        <v>13.216294285213294</v>
      </c>
      <c r="O48" s="23">
        <f t="shared" si="11"/>
        <v>-50.279350959582409</v>
      </c>
      <c r="P48" s="23" t="str">
        <f>IMPRODUCT(-Sheet1!$D$6,IMDIV(IMSUM(COMPLEX(1,0),IMDIV(Sheet1!$B$6,C48)),IMSUM(COMPLEX(1,0),IMDIV(C48,Sheet1!$C$6))))</f>
        <v>-0,698999092750801+0,342566069606915i</v>
      </c>
      <c r="Q48" s="23">
        <f t="shared" si="12"/>
        <v>-2.1756231880158645</v>
      </c>
      <c r="R48" s="23">
        <f t="shared" si="13"/>
        <v>153.89141062880338</v>
      </c>
      <c r="S48" s="23" t="str">
        <f t="shared" si="14"/>
        <v>-0,838960751888739+3,46465718735508i</v>
      </c>
      <c r="T48" s="23">
        <f t="shared" si="15"/>
        <v>11.040671097197421</v>
      </c>
      <c r="U48" s="23">
        <f t="shared" si="16"/>
        <v>103.61205966922093</v>
      </c>
      <c r="V48" s="23" t="str">
        <f>IMPRODUCT(-Sheet1!$J$6,IMDIV(IMSUM(COMPLEX(1,0),IMDIV(Sheet1!$H$6,C48)),IMSUM(COMPLEX(1,0),IMDIV(C48,Sheet1!$I$6))))</f>
        <v>-0,697462848766622+0,340559312150948i</v>
      </c>
      <c r="W48" s="23">
        <f t="shared" si="19"/>
        <v>-2.200897538021747</v>
      </c>
      <c r="X48" s="23">
        <f t="shared" si="20"/>
        <v>153.97452559366712</v>
      </c>
      <c r="Y48" s="23" t="str">
        <f t="shared" si="21"/>
        <v>-0,841533527610826+3,45337320250542i</v>
      </c>
      <c r="Z48" s="23">
        <f t="shared" si="22"/>
        <v>11.015396747191543</v>
      </c>
      <c r="AA48" s="23">
        <f t="shared" si="23"/>
        <v>103.69517463408469</v>
      </c>
      <c r="AB48" s="23"/>
    </row>
    <row r="49" spans="1:28" x14ac:dyDescent="0.25">
      <c r="A49" s="23">
        <f t="shared" si="17"/>
        <v>25</v>
      </c>
      <c r="B49" s="23">
        <f>EXP(((A49)*((LN('FB analysis'!$B$26*1000)-LN('FB analysis'!$B$25))/50))+LN('FB analysis'!$B$25))</f>
        <v>316.22776601683825</v>
      </c>
      <c r="C49" s="36" t="str">
        <f t="shared" si="1"/>
        <v>1986,91765315922i</v>
      </c>
      <c r="D49" s="23" t="str">
        <f t="shared" si="2"/>
        <v>1+0,00794767061263688i</v>
      </c>
      <c r="E49" s="23" t="str">
        <f t="shared" si="3"/>
        <v>1+0,948862298547861i</v>
      </c>
      <c r="F49" s="23" t="str">
        <f t="shared" si="18"/>
        <v>0,0169815228756674i</v>
      </c>
      <c r="G49" s="23" t="str">
        <f t="shared" si="4"/>
        <v>3,23875445047968-3,12921785145637i</v>
      </c>
      <c r="H49" s="23">
        <f t="shared" si="5"/>
        <v>13.071008160098117</v>
      </c>
      <c r="I49" s="23">
        <f t="shared" si="6"/>
        <v>-44.014542517099009</v>
      </c>
      <c r="J49" s="23" t="str">
        <f>IMPRODUCT(Sheet1!$B$12,IMDIV(IMSUM($L$21,IMDIV(C49,Sheet1!$C$12)),IMSUM($L$21,IMDIV(C49,Sheet1!$D$12))))</f>
        <v>0,925792311138779-0,189531438424633i</v>
      </c>
      <c r="K49" s="23">
        <f t="shared" si="7"/>
        <v>-0.49141941872137751</v>
      </c>
      <c r="L49" s="23">
        <f t="shared" si="8"/>
        <v>-11.569921811587911</v>
      </c>
      <c r="M49" s="23" t="str">
        <f t="shared" si="9"/>
        <v>2,40532880739002-3,51085161646011i</v>
      </c>
      <c r="N49" s="23">
        <f t="shared" si="10"/>
        <v>12.57958874137673</v>
      </c>
      <c r="O49" s="23">
        <f t="shared" si="11"/>
        <v>-55.584464328686941</v>
      </c>
      <c r="P49" s="23" t="str">
        <f>IMPRODUCT(-Sheet1!$D$6,IMDIV(IMSUM(COMPLEX(1,0),IMDIV(Sheet1!$B$6,C49)),IMSUM(COMPLEX(1,0),IMDIV(C49,Sheet1!$C$6))))</f>
        <v>-0,698741900845007+0,304945584461217i</v>
      </c>
      <c r="Q49" s="23">
        <f t="shared" si="12"/>
        <v>-2.3565044347044592</v>
      </c>
      <c r="R49" s="23">
        <f t="shared" si="13"/>
        <v>156.42253665101913</v>
      </c>
      <c r="S49" s="23" t="str">
        <f t="shared" si="14"/>
        <v>-0,610085324894922+3,18667353106106i</v>
      </c>
      <c r="T49" s="23">
        <f t="shared" si="15"/>
        <v>10.223084306672288</v>
      </c>
      <c r="U49" s="23">
        <f t="shared" si="16"/>
        <v>100.83807232233221</v>
      </c>
      <c r="V49" s="23" t="str">
        <f>IMPRODUCT(-Sheet1!$J$6,IMDIV(IMSUM(COMPLEX(1,0),IMDIV(Sheet1!$H$6,C49)),IMSUM(COMPLEX(1,0),IMDIV(C49,Sheet1!$I$6))))</f>
        <v>-0,697206189884909+0,303183715580457i</v>
      </c>
      <c r="W49" s="23">
        <f t="shared" si="19"/>
        <v>-2.3805951116593977</v>
      </c>
      <c r="X49" s="23">
        <f t="shared" si="20"/>
        <v>156.49793796791735</v>
      </c>
      <c r="Y49" s="23" t="str">
        <f t="shared" si="21"/>
        <v>-0,612577095290781+3,17704400378065i</v>
      </c>
      <c r="Z49" s="23">
        <f t="shared" si="22"/>
        <v>10.198993629717352</v>
      </c>
      <c r="AA49" s="23">
        <f t="shared" si="23"/>
        <v>100.91347363923042</v>
      </c>
      <c r="AB49" s="23"/>
    </row>
    <row r="50" spans="1:28" x14ac:dyDescent="0.25">
      <c r="A50" s="23">
        <f t="shared" si="17"/>
        <v>26</v>
      </c>
      <c r="B50" s="23">
        <f>EXP(((A50)*((LN('FB analysis'!$B$26*1000)-LN('FB analysis'!$B$25))/50))+LN('FB analysis'!$B$25))</f>
        <v>363.07805477010152</v>
      </c>
      <c r="C50" s="36" t="str">
        <f t="shared" si="1"/>
        <v>2281,28669909085i</v>
      </c>
      <c r="D50" s="23" t="str">
        <f t="shared" si="2"/>
        <v>1+0,0091251467963634i</v>
      </c>
      <c r="E50" s="23" t="str">
        <f t="shared" si="3"/>
        <v>1+1,08943968437958i</v>
      </c>
      <c r="F50" s="23" t="str">
        <f t="shared" si="18"/>
        <v>0,0194973969882297i</v>
      </c>
      <c r="G50" s="23" t="str">
        <f t="shared" si="4"/>
        <v>2,80660831949437-3,12202631100348i</v>
      </c>
      <c r="H50" s="23">
        <f t="shared" si="5"/>
        <v>12.461069125195646</v>
      </c>
      <c r="I50" s="23">
        <f t="shared" si="6"/>
        <v>-48.045405672699012</v>
      </c>
      <c r="J50" s="23" t="str">
        <f>IMPRODUCT(Sheet1!$B$12,IMDIV(IMSUM($L$21,IMDIV(C50,Sheet1!$C$12)),IMSUM($L$21,IMDIV(C50,Sheet1!$D$12))))</f>
        <v>0,906340170557913-0,20899608232587i</v>
      </c>
      <c r="K50" s="23">
        <f t="shared" si="7"/>
        <v>-0.62917690419478833</v>
      </c>
      <c r="L50" s="23">
        <f t="shared" si="8"/>
        <v>-12.985052691259753</v>
      </c>
      <c r="M50" s="23" t="str">
        <f t="shared" si="9"/>
        <v>1,89125059506177-3,4161880025987i</v>
      </c>
      <c r="N50" s="23">
        <f t="shared" si="10"/>
        <v>11.831892221000849</v>
      </c>
      <c r="O50" s="23">
        <f t="shared" si="11"/>
        <v>-61.030458363958736</v>
      </c>
      <c r="P50" s="23" t="str">
        <f>IMPRODUCT(-Sheet1!$D$6,IMDIV(IMSUM(COMPLEX(1,0),IMDIV(Sheet1!$B$6,C50)),IMSUM(COMPLEX(1,0),IMDIV(C50,Sheet1!$C$6))))</f>
        <v>-0,6984031449427+0,273148364525776i</v>
      </c>
      <c r="Q50" s="23">
        <f t="shared" si="12"/>
        <v>-2.4997246329851115</v>
      </c>
      <c r="R50" s="23">
        <f t="shared" si="13"/>
        <v>158.63932603901455</v>
      </c>
      <c r="S50" s="23" t="str">
        <f t="shared" si="14"/>
        <v>-0,387729197643479+2,90246845167998i</v>
      </c>
      <c r="T50" s="23">
        <f t="shared" si="15"/>
        <v>9.33216758801575</v>
      </c>
      <c r="U50" s="23">
        <f t="shared" si="16"/>
        <v>97.608867675055734</v>
      </c>
      <c r="V50" s="23" t="str">
        <f>IMPRODUCT(-Sheet1!$J$6,IMDIV(IMSUM(COMPLEX(1,0),IMDIV(Sheet1!$H$6,C50)),IMSUM(COMPLEX(1,0),IMDIV(C50,Sheet1!$I$6))))</f>
        <v>-0,696868136082322+0,271597715152583i</v>
      </c>
      <c r="W50" s="23">
        <f t="shared" si="19"/>
        <v>-2.5228489947909241</v>
      </c>
      <c r="X50" s="23">
        <f t="shared" si="20"/>
        <v>158.70712433971249</v>
      </c>
      <c r="Y50" s="23" t="str">
        <f t="shared" si="21"/>
        <v>-0,390123421007804+2,89429190627749i</v>
      </c>
      <c r="Z50" s="23">
        <f t="shared" si="22"/>
        <v>9.309043226209937</v>
      </c>
      <c r="AA50" s="23">
        <f t="shared" si="23"/>
        <v>97.676665975753735</v>
      </c>
      <c r="AB50" s="23"/>
    </row>
    <row r="51" spans="1:28" x14ac:dyDescent="0.25">
      <c r="A51" s="23">
        <f t="shared" si="17"/>
        <v>27</v>
      </c>
      <c r="B51" s="23">
        <f>EXP(((A51)*((LN('FB analysis'!$B$26*1000)-LN('FB analysis'!$B$25))/50))+LN('FB analysis'!$B$25))</f>
        <v>416.86938347033532</v>
      </c>
      <c r="C51" s="36" t="str">
        <f t="shared" si="1"/>
        <v>2619,26758523382i</v>
      </c>
      <c r="D51" s="23" t="str">
        <f t="shared" si="2"/>
        <v>1+0,0104770703409353i</v>
      </c>
      <c r="E51" s="23" t="str">
        <f t="shared" si="3"/>
        <v>1+1,25084411902284i</v>
      </c>
      <c r="F51" s="23" t="str">
        <f t="shared" si="18"/>
        <v>0,0223860069617983i</v>
      </c>
      <c r="G51" s="23" t="str">
        <f t="shared" si="4"/>
        <v>2,38448380413963-3,05655482672495i</v>
      </c>
      <c r="H51" s="23">
        <f t="shared" si="5"/>
        <v>11.769095791921345</v>
      </c>
      <c r="I51" s="23">
        <f t="shared" si="6"/>
        <v>-52.041445074778046</v>
      </c>
      <c r="J51" s="23" t="str">
        <f>IMPRODUCT(Sheet1!$B$12,IMDIV(IMSUM($L$21,IMDIV(C51,Sheet1!$C$12)),IMSUM($L$21,IMDIV(C51,Sheet1!$D$12))))</f>
        <v>0,882933994800835-0,228057479885919i</v>
      </c>
      <c r="K51" s="23">
        <f t="shared" si="7"/>
        <v>-0.80094578565768682</v>
      </c>
      <c r="L51" s="23">
        <f t="shared" si="8"/>
        <v>-14.482677266548398</v>
      </c>
      <c r="M51" s="23" t="str">
        <f t="shared" si="9"/>
        <v>1,40827161981086-3,24253553068891i</v>
      </c>
      <c r="N51" s="23">
        <f t="shared" si="10"/>
        <v>10.968150006263661</v>
      </c>
      <c r="O51" s="23">
        <f t="shared" si="11"/>
        <v>-66.524122341326475</v>
      </c>
      <c r="P51" s="23" t="str">
        <f>IMPRODUCT(-Sheet1!$D$6,IMDIV(IMSUM(COMPLEX(1,0),IMDIV(Sheet1!$B$6,C51)),IMSUM(COMPLEX(1,0),IMDIV(C51,Sheet1!$C$6))))</f>
        <v>-0,697957079272687+0,246563240769504i</v>
      </c>
      <c r="Q51" s="23">
        <f t="shared" si="12"/>
        <v>-2.612689632570361</v>
      </c>
      <c r="R51" s="23">
        <f t="shared" si="13"/>
        <v>160.54350967831195</v>
      </c>
      <c r="S51" s="23" t="str">
        <f t="shared" si="14"/>
        <v>-0,183423077828884+2,61037864290183i</v>
      </c>
      <c r="T51" s="23">
        <f t="shared" si="15"/>
        <v>8.3554603736933082</v>
      </c>
      <c r="U51" s="23">
        <f t="shared" si="16"/>
        <v>94.019387336985488</v>
      </c>
      <c r="V51" s="23" t="str">
        <f>IMPRODUCT(-Sheet1!$J$6,IMDIV(IMSUM(COMPLEX(1,0),IMDIV(Sheet1!$H$6,C51)),IMSUM(COMPLEX(1,0),IMDIV(C51,Sheet1!$I$6))))</f>
        <v>-0,696422994983216+0,245194186388628i</v>
      </c>
      <c r="W51" s="23">
        <f t="shared" si="19"/>
        <v>-2.6350375932058014</v>
      </c>
      <c r="X51" s="23">
        <f t="shared" si="20"/>
        <v>160.60403051407934</v>
      </c>
      <c r="Y51" s="23" t="str">
        <f t="shared" si="21"/>
        <v>-0,18570187793506+2,60347631965558i</v>
      </c>
      <c r="Z51" s="23">
        <f t="shared" si="22"/>
        <v>8.3331124130578562</v>
      </c>
      <c r="AA51" s="23">
        <f t="shared" si="23"/>
        <v>94.079908172752923</v>
      </c>
      <c r="AB51" s="23"/>
    </row>
    <row r="52" spans="1:28" x14ac:dyDescent="0.25">
      <c r="A52" s="23">
        <f t="shared" si="17"/>
        <v>28</v>
      </c>
      <c r="B52" s="23">
        <f>EXP(((A52)*((LN('FB analysis'!$B$26*1000)-LN('FB analysis'!$B$25))/50))+LN('FB analysis'!$B$25))</f>
        <v>478.63009232263886</v>
      </c>
      <c r="C52" s="36" t="str">
        <f t="shared" si="1"/>
        <v>3007,32156365561i</v>
      </c>
      <c r="D52" s="23" t="str">
        <f t="shared" si="2"/>
        <v>1+0,0120292862546224i</v>
      </c>
      <c r="E52" s="23" t="str">
        <f t="shared" si="3"/>
        <v>1+1,43616120518415i</v>
      </c>
      <c r="F52" s="23" t="str">
        <f t="shared" si="18"/>
        <v>0,0257025749640432i</v>
      </c>
      <c r="G52" s="23" t="str">
        <f t="shared" si="4"/>
        <v>1,98712653441006-2,93872687913695i</v>
      </c>
      <c r="H52" s="23">
        <f t="shared" si="5"/>
        <v>10.998458878521461</v>
      </c>
      <c r="I52" s="23">
        <f t="shared" si="6"/>
        <v>-55.933985277127682</v>
      </c>
      <c r="J52" s="23" t="str">
        <f>IMPRODUCT(Sheet1!$B$12,IMDIV(IMSUM($L$21,IMDIV(C52,Sheet1!$C$12)),IMSUM($L$21,IMDIV(C52,Sheet1!$D$12))))</f>
        <v>0,855408854234851-0,245774730714808i</v>
      </c>
      <c r="K52" s="23">
        <f t="shared" si="7"/>
        <v>-1.0120379833756608</v>
      </c>
      <c r="L52" s="23">
        <f t="shared" si="8"/>
        <v>-16.030333993950052</v>
      </c>
      <c r="M52" s="23" t="str">
        <f t="shared" si="9"/>
        <v>0,977540824655128-3,00219848148258i</v>
      </c>
      <c r="N52" s="23">
        <f t="shared" si="10"/>
        <v>9.9864208951458036</v>
      </c>
      <c r="O52" s="23">
        <f t="shared" si="11"/>
        <v>-71.964319271077727</v>
      </c>
      <c r="P52" s="23" t="str">
        <f>IMPRODUCT(-Sheet1!$D$6,IMDIV(IMSUM(COMPLEX(1,0),IMDIV(Sheet1!$B$6,C52)),IMSUM(COMPLEX(1,0),IMDIV(C52,Sheet1!$C$6))))</f>
        <v>-0,697369920133628+0,22467700719988i</v>
      </c>
      <c r="Q52" s="23">
        <f t="shared" si="12"/>
        <v>-2.7018380113202163</v>
      </c>
      <c r="R52" s="23">
        <f t="shared" si="13"/>
        <v>162.14221916309248</v>
      </c>
      <c r="S52" s="23" t="str">
        <f t="shared" si="14"/>
        <v>-0,00718259697757684+2,31327386215602i</v>
      </c>
      <c r="T52" s="23">
        <f t="shared" si="15"/>
        <v>7.2845828838255757</v>
      </c>
      <c r="U52" s="23">
        <f t="shared" si="16"/>
        <v>90.17789989201475</v>
      </c>
      <c r="V52" s="23" t="str">
        <f>IMPRODUCT(-Sheet1!$J$6,IMDIV(IMSUM(COMPLEX(1,0),IMDIV(Sheet1!$H$6,C52)),IMSUM(COMPLEX(1,0),IMDIV(C52,Sheet1!$I$6))))</f>
        <v>-0,695837052971649+0,223463404885212i</v>
      </c>
      <c r="W52" s="23">
        <f t="shared" si="19"/>
        <v>-2.7235701480758587</v>
      </c>
      <c r="X52" s="23">
        <f t="shared" si="20"/>
        <v>162.19592679891596</v>
      </c>
      <c r="Y52" s="23" t="str">
        <f t="shared" si="21"/>
        <v>-0,00932763177418927+2,30748554488253i</v>
      </c>
      <c r="Z52" s="23">
        <f t="shared" si="22"/>
        <v>7.2628507470699404</v>
      </c>
      <c r="AA52" s="23">
        <f t="shared" si="23"/>
        <v>90.231607527838236</v>
      </c>
      <c r="AB52" s="23"/>
    </row>
    <row r="53" spans="1:28" x14ac:dyDescent="0.25">
      <c r="A53" s="23">
        <f t="shared" si="17"/>
        <v>29</v>
      </c>
      <c r="B53" s="23">
        <f>EXP(((A53)*((LN('FB analysis'!$B$26*1000)-LN('FB analysis'!$B$25))/50))+LN('FB analysis'!$B$25))</f>
        <v>549.54087385762477</v>
      </c>
      <c r="C53" s="36" t="str">
        <f t="shared" si="1"/>
        <v>3452,86714431686i</v>
      </c>
      <c r="D53" s="23" t="str">
        <f t="shared" si="2"/>
        <v>1+0,0138114685772674i</v>
      </c>
      <c r="E53" s="23" t="str">
        <f t="shared" si="3"/>
        <v>1+1,64893368878551i</v>
      </c>
      <c r="F53" s="23" t="str">
        <f t="shared" si="18"/>
        <v>0,0295105045267613i</v>
      </c>
      <c r="G53" s="23" t="str">
        <f t="shared" si="4"/>
        <v>1,62590047184549-2,77847432517806i</v>
      </c>
      <c r="H53" s="23">
        <f t="shared" si="5"/>
        <v>10.155052750139102</v>
      </c>
      <c r="I53" s="23">
        <f t="shared" si="6"/>
        <v>-59.664792376707894</v>
      </c>
      <c r="J53" s="23" t="str">
        <f>IMPRODUCT(Sheet1!$B$12,IMDIV(IMSUM($L$21,IMDIV(C53,Sheet1!$C$12)),IMSUM($L$21,IMDIV(C53,Sheet1!$D$12))))</f>
        <v>0,823899853917505-0,261065449924687i</v>
      </c>
      <c r="K53" s="23">
        <f t="shared" si="7"/>
        <v>-1.2669908523475462</v>
      </c>
      <c r="L53" s="23">
        <f t="shared" si="8"/>
        <v>-17.581612897481847</v>
      </c>
      <c r="M53" s="23" t="str">
        <f t="shared" si="9"/>
        <v>0,6142155114311-2,71365102884285i</v>
      </c>
      <c r="N53" s="23">
        <f t="shared" si="10"/>
        <v>8.8880618977915677</v>
      </c>
      <c r="O53" s="23">
        <f t="shared" si="11"/>
        <v>-77.246405274189769</v>
      </c>
      <c r="P53" s="23" t="str">
        <f>IMPRODUCT(-Sheet1!$D$6,IMDIV(IMSUM(COMPLEX(1,0),IMDIV(Sheet1!$B$6,C53)),IMSUM(COMPLEX(1,0),IMDIV(C53,Sheet1!$C$6))))</f>
        <v>-0,69659740150919+0,207063762415846i</v>
      </c>
      <c r="Q53" s="23">
        <f t="shared" si="12"/>
        <v>-2.7726463755121329</v>
      </c>
      <c r="R53" s="23">
        <f t="shared" si="13"/>
        <v>163.44540455618517</v>
      </c>
      <c r="S53" s="23" t="str">
        <f t="shared" si="14"/>
        <v>0,134037862686288+2,01750403002576i</v>
      </c>
      <c r="T53" s="23">
        <f t="shared" si="15"/>
        <v>6.1154155222794069</v>
      </c>
      <c r="U53" s="23">
        <f t="shared" si="16"/>
        <v>86.198999281995455</v>
      </c>
      <c r="V53" s="23" t="str">
        <f>IMPRODUCT(-Sheet1!$J$6,IMDIV(IMSUM(COMPLEX(1,0),IMDIV(Sheet1!$H$6,C53)),IMSUM(COMPLEX(1,0),IMDIV(C53,Sheet1!$I$6))))</f>
        <v>-0,695066135896438+0,205982456131828i</v>
      </c>
      <c r="W53" s="23">
        <f t="shared" si="19"/>
        <v>-2.7938950839870449</v>
      </c>
      <c r="X53" s="23">
        <f t="shared" si="20"/>
        <v>163.49283979529713</v>
      </c>
      <c r="Y53" s="23" t="str">
        <f t="shared" si="21"/>
        <v>0,132044101867642+2,01268455442803i</v>
      </c>
      <c r="Z53" s="23">
        <f t="shared" si="22"/>
        <v>6.0941668138044882</v>
      </c>
      <c r="AA53" s="23">
        <f t="shared" si="23"/>
        <v>86.246434521107389</v>
      </c>
      <c r="AB53" s="23"/>
    </row>
    <row r="54" spans="1:28" x14ac:dyDescent="0.25">
      <c r="A54" s="23">
        <f t="shared" si="17"/>
        <v>30</v>
      </c>
      <c r="B54" s="23">
        <f>EXP(((A54)*((LN('FB analysis'!$B$26*1000)-LN('FB analysis'!$B$25))/50))+LN('FB analysis'!$B$25))</f>
        <v>630.9573444801938</v>
      </c>
      <c r="C54" s="36" t="str">
        <f t="shared" si="1"/>
        <v>3964,421916295i</v>
      </c>
      <c r="D54" s="23" t="str">
        <f t="shared" si="2"/>
        <v>1+0,01585768766518i</v>
      </c>
      <c r="E54" s="23" t="str">
        <f t="shared" si="3"/>
        <v>1+1,8932291863873i</v>
      </c>
      <c r="F54" s="23" t="str">
        <f t="shared" si="18"/>
        <v>0,0338825926446011i</v>
      </c>
      <c r="G54" s="23" t="str">
        <f t="shared" si="4"/>
        <v>1,30778135824332-2,58784635603095i</v>
      </c>
      <c r="H54" s="23">
        <f t="shared" si="5"/>
        <v>9.2465348888946881</v>
      </c>
      <c r="I54" s="23">
        <f t="shared" si="6"/>
        <v>-63.190015198337413</v>
      </c>
      <c r="J54" s="23" t="str">
        <f>IMPRODUCT(Sheet1!$B$12,IMDIV(IMSUM($L$21,IMDIV(C54,Sheet1!$C$12)),IMSUM($L$21,IMDIV(C54,Sheet1!$D$12))))</f>
        <v>0,788923144424365-0,27282336063941i</v>
      </c>
      <c r="K54" s="23">
        <f t="shared" si="7"/>
        <v>-1.5687171817358729</v>
      </c>
      <c r="L54" s="23">
        <f t="shared" si="8"/>
        <v>-19.076276575348309</v>
      </c>
      <c r="M54" s="23" t="str">
        <f t="shared" si="9"/>
        <v>0,325714041694072-2,39840518962459i</v>
      </c>
      <c r="N54" s="23">
        <f t="shared" si="10"/>
        <v>7.6778177071588285</v>
      </c>
      <c r="O54" s="23">
        <f t="shared" si="11"/>
        <v>-82.266291773685737</v>
      </c>
      <c r="P54" s="23" t="str">
        <f>IMPRODUCT(-Sheet1!$D$6,IMDIV(IMSUM(COMPLEX(1,0),IMDIV(Sheet1!$B$6,C54)),IMSUM(COMPLEX(1,0),IMDIV(C54,Sheet1!$C$6))))</f>
        <v>-0,695581635081548+0,193375498980331i</v>
      </c>
      <c r="Q54" s="23">
        <f t="shared" si="12"/>
        <v>-2.8297235010358248</v>
      </c>
      <c r="R54" s="23">
        <f t="shared" si="13"/>
        <v>164.46377845518029</v>
      </c>
      <c r="S54" s="23" t="str">
        <f t="shared" si="14"/>
        <v>0,237232094610088+1,73127171872463i</v>
      </c>
      <c r="T54" s="23">
        <f t="shared" si="15"/>
        <v>4.8480942061229824</v>
      </c>
      <c r="U54" s="23">
        <f t="shared" si="16"/>
        <v>82.197486681494581</v>
      </c>
      <c r="V54" s="23" t="str">
        <f>IMPRODUCT(-Sheet1!$J$6,IMDIV(IMSUM(COMPLEX(1,0),IMDIV(Sheet1!$H$6,C54)),IMSUM(COMPLEX(1,0),IMDIV(C54,Sheet1!$I$6))))</f>
        <v>-0,694052475633689+0,192405884540687i</v>
      </c>
      <c r="W54" s="23">
        <f t="shared" si="19"/>
        <v>-2.8505958612986673</v>
      </c>
      <c r="X54" s="23">
        <f t="shared" si="20"/>
        <v>164.50551191883895</v>
      </c>
      <c r="Y54" s="23" t="str">
        <f t="shared" si="21"/>
        <v>0,235404635010267+1,7272883577311i</v>
      </c>
      <c r="Z54" s="23">
        <f t="shared" si="22"/>
        <v>4.8272218458601417</v>
      </c>
      <c r="AA54" s="23">
        <f t="shared" si="23"/>
        <v>82.239220145153226</v>
      </c>
      <c r="AB54" s="23"/>
    </row>
    <row r="55" spans="1:28" x14ac:dyDescent="0.25">
      <c r="A55" s="23">
        <f t="shared" si="17"/>
        <v>31</v>
      </c>
      <c r="B55" s="23">
        <f>EXP(((A55)*((LN('FB analysis'!$B$26*1000)-LN('FB analysis'!$B$25))/50))+LN('FB analysis'!$B$25))</f>
        <v>724.43596007499025</v>
      </c>
      <c r="C55" s="36" t="str">
        <f t="shared" si="1"/>
        <v>4551,76538033572i</v>
      </c>
      <c r="D55" s="23" t="str">
        <f t="shared" si="2"/>
        <v>1+0,0182070615213429i</v>
      </c>
      <c r="E55" s="23" t="str">
        <f t="shared" si="3"/>
        <v>1+2,17371794667417i</v>
      </c>
      <c r="F55" s="23" t="str">
        <f t="shared" si="18"/>
        <v>0,0389024214506025i</v>
      </c>
      <c r="G55" s="23" t="str">
        <f t="shared" si="4"/>
        <v>1,03536324837762-2,37909015379311i</v>
      </c>
      <c r="H55" s="23">
        <f t="shared" si="5"/>
        <v>8.2814714038510822</v>
      </c>
      <c r="I55" s="23">
        <f t="shared" si="6"/>
        <v>-66.481664559154282</v>
      </c>
      <c r="J55" s="23" t="str">
        <f>IMPRODUCT(Sheet1!$B$12,IMDIV(IMSUM($L$21,IMDIV(C55,Sheet1!$C$12)),IMSUM($L$21,IMDIV(C55,Sheet1!$D$12))))</f>
        <v>0,751398472305961-0,280083391257499i</v>
      </c>
      <c r="K55" s="23">
        <f t="shared" si="7"/>
        <v>-1.9175770885784384</v>
      </c>
      <c r="L55" s="23">
        <f t="shared" si="8"/>
        <v>-20.442913824525984</v>
      </c>
      <c r="M55" s="23" t="str">
        <f t="shared" si="9"/>
        <v>0,111626724730982-2,07763275682728i</v>
      </c>
      <c r="N55" s="23">
        <f t="shared" si="10"/>
        <v>6.3638943152726402</v>
      </c>
      <c r="O55" s="23">
        <f t="shared" si="11"/>
        <v>-86.924578383680256</v>
      </c>
      <c r="P55" s="23" t="str">
        <f>IMPRODUCT(-Sheet1!$D$6,IMDIV(IMSUM(COMPLEX(1,0),IMDIV(Sheet1!$B$6,C55)),IMSUM(COMPLEX(1,0),IMDIV(C55,Sheet1!$C$6))))</f>
        <v>-0,69424711200971+0,18333355802431i</v>
      </c>
      <c r="Q55" s="23">
        <f t="shared" si="12"/>
        <v>-2.8769530725092505</v>
      </c>
      <c r="R55" s="23">
        <f t="shared" si="13"/>
        <v>165.20728582406949</v>
      </c>
      <c r="S55" s="23" t="str">
        <f t="shared" si="14"/>
        <v>0,303403274309414+1,46285546585964i</v>
      </c>
      <c r="T55" s="23">
        <f t="shared" si="15"/>
        <v>3.4869412427633768</v>
      </c>
      <c r="U55" s="23">
        <f t="shared" si="16"/>
        <v>78.282707440389231</v>
      </c>
      <c r="V55" s="23" t="str">
        <f>IMPRODUCT(-Sheet1!$J$6,IMDIV(IMSUM(COMPLEX(1,0),IMDIV(Sheet1!$H$6,C55)),IMSUM(COMPLEX(1,0),IMDIV(C55,Sheet1!$I$6))))</f>
        <v>-0,692720720222758+0,182457200651979i</v>
      </c>
      <c r="W55" s="23">
        <f t="shared" si="19"/>
        <v>-2.8975344405086956</v>
      </c>
      <c r="X55" s="23">
        <f t="shared" si="20"/>
        <v>165.24388527739376</v>
      </c>
      <c r="Y55" s="23" t="str">
        <f t="shared" si="21"/>
        <v>0,301752911641806+1,45958635938015i</v>
      </c>
      <c r="Z55" s="23">
        <f t="shared" si="22"/>
        <v>3.4663598747639361</v>
      </c>
      <c r="AA55" s="23">
        <f t="shared" si="23"/>
        <v>78.319306893713517</v>
      </c>
      <c r="AB55" s="23"/>
    </row>
    <row r="56" spans="1:28" x14ac:dyDescent="0.25">
      <c r="A56" s="23">
        <f t="shared" si="17"/>
        <v>32</v>
      </c>
      <c r="B56" s="23">
        <f>EXP(((A56)*((LN('FB analysis'!$B$26*1000)-LN('FB analysis'!$B$25))/50))+LN('FB analysis'!$B$25))</f>
        <v>831.7637711026714</v>
      </c>
      <c r="C56" s="36" t="str">
        <f t="shared" ref="C56:C74" si="24">COMPLEX(0,(2*PI()*B56))</f>
        <v>5226,12590563659i</v>
      </c>
      <c r="D56" s="23" t="str">
        <f t="shared" ref="D56:D74" si="25">IMSUM(L$21,IMDIV(C56,H$21))</f>
        <v>1+0,0209045036225464i</v>
      </c>
      <c r="E56" s="23" t="str">
        <f t="shared" ref="E56:E74" si="26">IMSUM(L$21,IMDIV(C56,I$21))</f>
        <v>1+2,49576213258672i</v>
      </c>
      <c r="F56" s="23" t="str">
        <f t="shared" ref="F56:F74" si="27">IMDIV(C56,IMPRODUCT(J$21,K$21))</f>
        <v>0,0446659560735072i</v>
      </c>
      <c r="G56" s="23" t="str">
        <f t="shared" ref="G56:G74" si="28">IMPRODUCT(IMPRODUCT(F$21,IMDIV(D56,E56)),IMDIV(L$21,IMSUM(L$21,F56,IMPOWER(IMDIV(C56,J$21),2))))</f>
        <v>0,807620319857939-2,16317654198932i</v>
      </c>
      <c r="H56" s="23">
        <f t="shared" ref="H56:H74" si="29">20*LOG((IMABS(G56)))</f>
        <v>7.2685620163636324</v>
      </c>
      <c r="I56" s="23">
        <f t="shared" ref="I56:I74" si="30">IMARGUMENT(G56)*180/PI()</f>
        <v>-69.526920542784751</v>
      </c>
      <c r="J56" s="23" t="str">
        <f>IMPRODUCT(Sheet1!$B$12,IMDIV(IMSUM($L$21,IMDIV(C56,Sheet1!$C$12)),IMSUM($L$21,IMDIV(C56,Sheet1!$D$12))))</f>
        <v>0,712584386686832-0,282198049468446i</v>
      </c>
      <c r="K56" s="23">
        <f t="shared" ref="K56:K74" si="31">20*LOG((IMABS(J56)))</f>
        <v>-2.3105700287976094</v>
      </c>
      <c r="L56" s="23">
        <f t="shared" ref="L56:L74" si="32">IMARGUMENT(J56)*180/PI()</f>
        <v>-21.604582757875367</v>
      </c>
      <c r="M56" s="23" t="str">
        <f t="shared" ref="M56:M74" si="33">IMPRODUCT(G56,J56)</f>
        <v>-0,0349465705034916-1,76935470844379i</v>
      </c>
      <c r="N56" s="23">
        <f t="shared" ref="N56:N74" si="34">20*LOG((IMABS(M56)))</f>
        <v>4.9579919875660003</v>
      </c>
      <c r="O56" s="23">
        <f t="shared" ref="O56:O74" si="35">IMARGUMENT(M56)*180/PI()</f>
        <v>-91.131503300660128</v>
      </c>
      <c r="P56" s="23" t="str">
        <f>IMPRODUCT(-Sheet1!$D$6,IMDIV(IMSUM(COMPLEX(1,0),IMDIV(Sheet1!$B$6,C56)),IMSUM(COMPLEX(1,0),IMDIV(C56,Sheet1!$C$6))))</f>
        <v>-0,692495672899709+0,176720492053258i</v>
      </c>
      <c r="Q56" s="23">
        <f t="shared" ref="Q56:Q74" si="36">20*LOG((IMABS(P56)))</f>
        <v>-2.9176578522198948</v>
      </c>
      <c r="R56" s="23">
        <f t="shared" ref="R56:R74" si="37">IMARGUMENT(P56)*180/PI()</f>
        <v>165.68403122416294</v>
      </c>
      <c r="S56" s="23" t="str">
        <f t="shared" ref="S56:S74" si="38">IMPRODUCT(J56,G56,P56)</f>
        <v>0,336881583549289+1,2190947042871i</v>
      </c>
      <c r="T56" s="23">
        <f t="shared" ref="T56:T74" si="39">20*LOG((IMABS(S56)))</f>
        <v>2.0403341353461091</v>
      </c>
      <c r="U56" s="23">
        <f t="shared" ref="U56:U74" si="40">IMARGUMENT(S56)*180/PI()</f>
        <v>74.552527923502794</v>
      </c>
      <c r="V56" s="23" t="str">
        <f>IMPRODUCT(-Sheet1!$J$6,IMDIV(IMSUM(COMPLEX(1,0),IMDIV(Sheet1!$H$6,C56)),IMSUM(COMPLEX(1,0),IMDIV(C56,Sheet1!$I$6))))</f>
        <v>-0,690972914383148+0,175920791087837i</v>
      </c>
      <c r="W56" s="23">
        <f t="shared" si="19"/>
        <v>-2.938015542026287</v>
      </c>
      <c r="X56" s="23">
        <f t="shared" si="20"/>
        <v>165.71604034101321</v>
      </c>
      <c r="Y56" s="23" t="str">
        <f t="shared" si="21"/>
        <v>0,335413413692915+1,21642835114217i</v>
      </c>
      <c r="Z56" s="23">
        <f t="shared" si="22"/>
        <v>2.0199764455397187</v>
      </c>
      <c r="AA56" s="23">
        <f t="shared" si="23"/>
        <v>74.584537040353098</v>
      </c>
      <c r="AB56" s="23"/>
    </row>
    <row r="57" spans="1:28" x14ac:dyDescent="0.25">
      <c r="A57" s="23">
        <f t="shared" ref="A57:A74" si="41">A56+1</f>
        <v>33</v>
      </c>
      <c r="B57" s="23">
        <f>EXP(((A57)*((LN('FB analysis'!$B$26*1000)-LN('FB analysis'!$B$25))/50))+LN('FB analysis'!$B$25))</f>
        <v>954.99258602143675</v>
      </c>
      <c r="C57" s="36" t="str">
        <f t="shared" si="24"/>
        <v>6000,39538495533i</v>
      </c>
      <c r="D57" s="23" t="str">
        <f t="shared" si="25"/>
        <v>1+0,0240015815398213i</v>
      </c>
      <c r="E57" s="23" t="str">
        <f t="shared" si="26"/>
        <v>1+2,86551833092423i</v>
      </c>
      <c r="F57" s="23" t="str">
        <f t="shared" si="27"/>
        <v>0,051283379223418i</v>
      </c>
      <c r="G57" s="23" t="str">
        <f t="shared" si="28"/>
        <v>0,621020213448644-1,94896465384291i</v>
      </c>
      <c r="H57" s="23">
        <f t="shared" si="29"/>
        <v>6.2160509969427356</v>
      </c>
      <c r="I57" s="23">
        <f t="shared" si="30"/>
        <v>-72.325983976166668</v>
      </c>
      <c r="J57" s="23" t="str">
        <f>IMPRODUCT(Sheet1!$B$12,IMDIV(IMSUM($L$21,IMDIV(C57,Sheet1!$C$12)),IMSUM($L$21,IMDIV(C57,Sheet1!$D$12))))</f>
        <v>0,673924434648286-0,278971159569775i</v>
      </c>
      <c r="K57" s="23">
        <f t="shared" si="31"/>
        <v>-2.7408914201701546</v>
      </c>
      <c r="L57" s="23">
        <f t="shared" si="32"/>
        <v>-22.48711942959482</v>
      </c>
      <c r="M57" s="23" t="str">
        <f t="shared" si="33"/>
        <v>-0,125184233189526-1,48670163155261i</v>
      </c>
      <c r="N57" s="23">
        <f t="shared" si="34"/>
        <v>3.4751595767725627</v>
      </c>
      <c r="O57" s="23">
        <f t="shared" si="35"/>
        <v>-94.813103405761481</v>
      </c>
      <c r="P57" s="23" t="str">
        <f>IMPRODUCT(-Sheet1!$D$6,IMDIV(IMSUM(COMPLEX(1,0),IMDIV(Sheet1!$B$6,C57)),IMSUM(COMPLEX(1,0),IMDIV(C57,Sheet1!$C$6))))</f>
        <v>-0,690200284958154+0,173371761348461i</v>
      </c>
      <c r="Q57" s="23">
        <f t="shared" si="36"/>
        <v>-2.9547697281808953</v>
      </c>
      <c r="R57" s="23">
        <f t="shared" si="37"/>
        <v>165.89957578035481</v>
      </c>
      <c r="S57" s="23" t="str">
        <f t="shared" si="38"/>
        <v>0,344154273881586+1,00441847874424i</v>
      </c>
      <c r="T57" s="23">
        <f t="shared" si="39"/>
        <v>0.52038984859167481</v>
      </c>
      <c r="U57" s="23">
        <f t="shared" si="40"/>
        <v>71.086472374593313</v>
      </c>
      <c r="V57" s="23" t="str">
        <f>IMPRODUCT(-Sheet1!$J$6,IMDIV(IMSUM(COMPLEX(1,0),IMDIV(Sheet1!$H$6,C57)),IMSUM(COMPLEX(1,0),IMDIV(C57,Sheet1!$I$6))))</f>
        <v>-0,68868228977181+0,172633658403792i</v>
      </c>
      <c r="W57" s="23">
        <f t="shared" si="19"/>
        <v>-2.9749564299025999</v>
      </c>
      <c r="X57" s="23">
        <f t="shared" si="20"/>
        <v>165.92750155553543</v>
      </c>
      <c r="Y57" s="23" t="str">
        <f t="shared" si="21"/>
        <v>0,342866905966105+1,00225407167516i</v>
      </c>
      <c r="Z57" s="23">
        <f t="shared" si="22"/>
        <v>0.50020314686999723</v>
      </c>
      <c r="AA57" s="23">
        <f t="shared" si="23"/>
        <v>71.114398149774033</v>
      </c>
      <c r="AB57" s="23"/>
    </row>
    <row r="58" spans="1:28" x14ac:dyDescent="0.25">
      <c r="A58" s="23">
        <f t="shared" si="41"/>
        <v>34</v>
      </c>
      <c r="B58" s="23">
        <f>EXP(((A58)*((LN('FB analysis'!$B$26*1000)-LN('FB analysis'!$B$25))/50))+LN('FB analysis'!$B$25))</f>
        <v>1096.4781961431854</v>
      </c>
      <c r="C58" s="36" t="str">
        <f t="shared" si="24"/>
        <v>6889,37569164964i</v>
      </c>
      <c r="D58" s="23" t="str">
        <f t="shared" si="25"/>
        <v>1+0,0275575027665986i</v>
      </c>
      <c r="E58" s="23" t="str">
        <f t="shared" si="26"/>
        <v>1+3,29005524911635i</v>
      </c>
      <c r="F58" s="23" t="str">
        <f t="shared" si="27"/>
        <v>0,0588811975779653i</v>
      </c>
      <c r="G58" s="23" t="str">
        <f t="shared" si="28"/>
        <v>0,470635189160869-1,74295345206916i</v>
      </c>
      <c r="H58" s="23">
        <f t="shared" si="29"/>
        <v>5.1313555826886876</v>
      </c>
      <c r="I58" s="23">
        <f t="shared" si="30"/>
        <v>-74.889268036089831</v>
      </c>
      <c r="J58" s="23" t="str">
        <f>IMPRODUCT(Sheet1!$B$12,IMDIV(IMSUM($L$21,IMDIV(C58,Sheet1!$C$12)),IMSUM($L$21,IMDIV(C58,Sheet1!$D$12))))</f>
        <v>0,636839571711479-0,270700697588464i</v>
      </c>
      <c r="K58" s="23">
        <f t="shared" si="31"/>
        <v>-3.1980639642958026</v>
      </c>
      <c r="L58" s="23">
        <f t="shared" si="32"/>
        <v>-23.028835749393213</v>
      </c>
      <c r="M58" s="23" t="str">
        <f t="shared" si="33"/>
        <v>-0,172099603041784-1,23738300394429i</v>
      </c>
      <c r="N58" s="23">
        <f t="shared" si="34"/>
        <v>1.9332916183928601</v>
      </c>
      <c r="O58" s="23">
        <f t="shared" si="35"/>
        <v>-97.918103785483069</v>
      </c>
      <c r="P58" s="23" t="str">
        <f>IMPRODUCT(-Sheet1!$D$6,IMDIV(IMSUM(COMPLEX(1,0),IMDIV(Sheet1!$B$6,C58)),IMSUM(COMPLEX(1,0),IMDIV(C58,Sheet1!$C$6))))</f>
        <v>-0,68719752498242+0,173166519864968i</v>
      </c>
      <c r="Q58" s="23">
        <f t="shared" si="36"/>
        <v>-2.990998722249147</v>
      </c>
      <c r="R58" s="23">
        <f t="shared" si="37"/>
        <v>165.85652539672742</v>
      </c>
      <c r="S58" s="23" t="str">
        <f t="shared" si="38"/>
        <v>0,332539729793864+0,820524648436942i</v>
      </c>
      <c r="T58" s="23">
        <f t="shared" si="39"/>
        <v>-1.0577071038562667</v>
      </c>
      <c r="U58" s="23">
        <f t="shared" si="40"/>
        <v>67.938421611244351</v>
      </c>
      <c r="V58" s="23" t="str">
        <f>IMPRODUCT(-Sheet1!$J$6,IMDIV(IMSUM(COMPLEX(1,0),IMDIV(Sheet1!$H$6,C58)),IMSUM(COMPLEX(1,0),IMDIV(C58,Sheet1!$I$6))))</f>
        <v>-0,68568576389982+0,172476248771298i</v>
      </c>
      <c r="W58" s="23">
        <f t="shared" si="19"/>
        <v>-3.0110554931974551</v>
      </c>
      <c r="X58" s="23">
        <f t="shared" si="20"/>
        <v>165.88083173442459</v>
      </c>
      <c r="Y58" s="23" t="str">
        <f t="shared" si="21"/>
        <v>0,331425426592234+0,818772816348521i</v>
      </c>
      <c r="Z58" s="23">
        <f t="shared" si="22"/>
        <v>-1.0777638748045628</v>
      </c>
      <c r="AA58" s="23">
        <f t="shared" si="23"/>
        <v>67.962727948941506</v>
      </c>
      <c r="AB58" s="23"/>
    </row>
    <row r="59" spans="1:28" x14ac:dyDescent="0.25">
      <c r="A59" s="23">
        <f t="shared" si="41"/>
        <v>35</v>
      </c>
      <c r="B59" s="23">
        <f>EXP(((A59)*((LN('FB analysis'!$B$26*1000)-LN('FB analysis'!$B$25))/50))+LN('FB analysis'!$B$25))</f>
        <v>1258.925411794168</v>
      </c>
      <c r="C59" s="36" t="str">
        <f t="shared" si="24"/>
        <v>7910,06165022013i</v>
      </c>
      <c r="D59" s="23" t="str">
        <f t="shared" si="25"/>
        <v>1+0,0316402466008805i</v>
      </c>
      <c r="E59" s="23" t="str">
        <f t="shared" si="26"/>
        <v>1+3,77748884919777i</v>
      </c>
      <c r="F59" s="23" t="str">
        <f t="shared" si="27"/>
        <v>0,0676046602372144i</v>
      </c>
      <c r="G59" s="23" t="str">
        <f t="shared" si="28"/>
        <v>0,351041443546454-1,54944093200184i</v>
      </c>
      <c r="H59" s="23">
        <f t="shared" si="29"/>
        <v>4.0208888545173354</v>
      </c>
      <c r="I59" s="23">
        <f t="shared" si="30"/>
        <v>-77.234566736830544</v>
      </c>
      <c r="J59" s="23" t="str">
        <f>IMPRODUCT(Sheet1!$B$12,IMDIV(IMSUM($L$21,IMDIV(C59,Sheet1!$C$12)),IMSUM($L$21,IMDIV(C59,Sheet1!$D$12))))</f>
        <v>0,602527323285025-0,258114146121698i</v>
      </c>
      <c r="K59" s="23">
        <f t="shared" si="31"/>
        <v>-3.6687296564280421</v>
      </c>
      <c r="L59" s="23">
        <f t="shared" si="32"/>
        <v>-23.189604284551798</v>
      </c>
      <c r="M59" s="23" t="str">
        <f t="shared" si="33"/>
        <v>-0,188420561787507-1,02418925980164i</v>
      </c>
      <c r="N59" s="23">
        <f t="shared" si="34"/>
        <v>0.35215919808925644</v>
      </c>
      <c r="O59" s="23">
        <f t="shared" si="35"/>
        <v>-100.42417102138239</v>
      </c>
      <c r="P59" s="23" t="str">
        <f>IMPRODUCT(-Sheet1!$D$6,IMDIV(IMSUM(COMPLEX(1,0),IMDIV(Sheet1!$B$6,C59)),IMSUM(COMPLEX(1,0),IMDIV(C59,Sheet1!$C$6))))</f>
        <v>-0,683278812159125+0,176016521380233i</v>
      </c>
      <c r="Q59" s="23">
        <f t="shared" si="36"/>
        <v>-3.0289996111953248</v>
      </c>
      <c r="R59" s="23">
        <f t="shared" si="37"/>
        <v>165.55435508333687</v>
      </c>
      <c r="S59" s="23" t="str">
        <f t="shared" si="38"/>
        <v>0,309018008389804+0,666641689021055i</v>
      </c>
      <c r="T59" s="23">
        <f t="shared" si="39"/>
        <v>-2.6768404131060302</v>
      </c>
      <c r="U59" s="23">
        <f t="shared" si="40"/>
        <v>65.130184061954523</v>
      </c>
      <c r="V59" s="23" t="str">
        <f>IMPRODUCT(-Sheet1!$J$6,IMDIV(IMSUM(COMPLEX(1,0),IMDIV(Sheet1!$H$6,C59)),IMSUM(COMPLEX(1,0),IMDIV(C59,Sheet1!$I$6))))</f>
        <v>-0,681775191676886+0,175361400684707i</v>
      </c>
      <c r="W59" s="23">
        <f t="shared" si="19"/>
        <v>-3.0489583968210301</v>
      </c>
      <c r="X59" s="23">
        <f t="shared" si="20"/>
        <v>165.57546059025955</v>
      </c>
      <c r="Y59" s="23" t="str">
        <f t="shared" si="21"/>
        <v>0,308063727793594+0,665225135281818i</v>
      </c>
      <c r="Z59" s="23">
        <f t="shared" si="22"/>
        <v>-2.6967991987317337</v>
      </c>
      <c r="AA59" s="23">
        <f t="shared" si="23"/>
        <v>65.151289568877189</v>
      </c>
      <c r="AB59" s="23"/>
    </row>
    <row r="60" spans="1:28" x14ac:dyDescent="0.25">
      <c r="A60" s="23">
        <f t="shared" si="41"/>
        <v>36</v>
      </c>
      <c r="B60" s="23">
        <f>EXP(((A60)*((LN('FB analysis'!$B$26*1000)-LN('FB analysis'!$B$25))/50))+LN('FB analysis'!$B$25))</f>
        <v>1445.4397707459289</v>
      </c>
      <c r="C60" s="36" t="str">
        <f t="shared" si="24"/>
        <v>9081,96592996385i</v>
      </c>
      <c r="D60" s="23" t="str">
        <f t="shared" si="25"/>
        <v>1+0,0363278637198554i</v>
      </c>
      <c r="E60" s="23" t="str">
        <f t="shared" si="26"/>
        <v>1+4,33713750237051i</v>
      </c>
      <c r="F60" s="23" t="str">
        <f t="shared" si="27"/>
        <v>0,077620535481424i</v>
      </c>
      <c r="G60" s="23" t="str">
        <f t="shared" si="28"/>
        <v>0,256937788183724-1,37089590239578i</v>
      </c>
      <c r="H60" s="23">
        <f t="shared" si="29"/>
        <v>2.8900279516434644</v>
      </c>
      <c r="I60" s="23">
        <f t="shared" si="30"/>
        <v>-79.384591968221841</v>
      </c>
      <c r="J60" s="23" t="str">
        <f>IMPRODUCT(Sheet1!$B$12,IMDIV(IMSUM($L$21,IMDIV(C60,Sheet1!$C$12)),IMSUM($L$21,IMDIV(C60,Sheet1!$D$12))))</f>
        <v>0,571824950863698-0,242221189610725i</v>
      </c>
      <c r="K60" s="23">
        <f t="shared" si="31"/>
        <v>-4.1380116977429511</v>
      </c>
      <c r="L60" s="23">
        <f t="shared" si="32"/>
        <v>-22.95718783727288</v>
      </c>
      <c r="M60" s="23" t="str">
        <f t="shared" si="33"/>
        <v>-0,185136598207589-0,846148258736522i</v>
      </c>
      <c r="N60" s="23">
        <f t="shared" si="34"/>
        <v>-1.2479837460994851</v>
      </c>
      <c r="O60" s="23">
        <f t="shared" si="35"/>
        <v>-102.34177980549471</v>
      </c>
      <c r="P60" s="23" t="str">
        <f>IMPRODUCT(-Sheet1!$D$6,IMDIV(IMSUM(COMPLEX(1,0),IMDIV(Sheet1!$B$6,C60)),IMSUM(COMPLEX(1,0),IMDIV(C60,Sheet1!$C$6))))</f>
        <v>-0,678180724562309+0,181851906963313i</v>
      </c>
      <c r="Q60" s="23">
        <f t="shared" si="36"/>
        <v>-3.0715377556449983</v>
      </c>
      <c r="R60" s="23">
        <f t="shared" si="37"/>
        <v>164.98944351024977</v>
      </c>
      <c r="S60" s="23" t="str">
        <f t="shared" si="38"/>
        <v>0,279429746740347+0,54017399576432i</v>
      </c>
      <c r="T60" s="23">
        <f t="shared" si="39"/>
        <v>-4.3195215017444806</v>
      </c>
      <c r="U60" s="23">
        <f t="shared" si="40"/>
        <v>62.647663704755061</v>
      </c>
      <c r="V60" s="23" t="str">
        <f>IMPRODUCT(-Sheet1!$J$6,IMDIV(IMSUM(COMPLEX(1,0),IMDIV(Sheet1!$H$6,C60)),IMSUM(COMPLEX(1,0),IMDIV(C60,Sheet1!$I$6))))</f>
        <v>-0,676687702917535+0,181220178726409i</v>
      </c>
      <c r="W60" s="23">
        <f t="shared" si="19"/>
        <v>-3.0914234621346282</v>
      </c>
      <c r="X60" s="23">
        <f t="shared" si="20"/>
        <v>165.00772202565611</v>
      </c>
      <c r="Y60" s="23" t="str">
        <f t="shared" si="21"/>
        <v>0,278618798044332+0,53902763411611i</v>
      </c>
      <c r="Z60" s="23">
        <f t="shared" si="22"/>
        <v>-4.3394072082341237</v>
      </c>
      <c r="AA60" s="23">
        <f t="shared" si="23"/>
        <v>62.665942220161384</v>
      </c>
      <c r="AB60" s="23"/>
    </row>
    <row r="61" spans="1:28" x14ac:dyDescent="0.25">
      <c r="A61" s="23">
        <f t="shared" si="41"/>
        <v>37</v>
      </c>
      <c r="B61" s="23">
        <f>EXP(((A61)*((LN('FB analysis'!$B$26*1000)-LN('FB analysis'!$B$25))/50))+LN('FB analysis'!$B$25))</f>
        <v>1659.5869074375612</v>
      </c>
      <c r="C61" s="36" t="str">
        <f t="shared" si="24"/>
        <v>10427,4920727993i</v>
      </c>
      <c r="D61" s="23" t="str">
        <f t="shared" si="25"/>
        <v>1+0,0417099682911972i</v>
      </c>
      <c r="E61" s="23" t="str">
        <f t="shared" si="26"/>
        <v>1+4,97970013027665i</v>
      </c>
      <c r="F61" s="23" t="str">
        <f t="shared" si="27"/>
        <v>0,0891202989155243i</v>
      </c>
      <c r="G61" s="23" t="str">
        <f t="shared" si="28"/>
        <v>0,183506173724745-1,20839215697842i</v>
      </c>
      <c r="H61" s="23">
        <f t="shared" si="29"/>
        <v>1.743174924091577</v>
      </c>
      <c r="I61" s="23">
        <f t="shared" si="30"/>
        <v>-81.365049865092701</v>
      </c>
      <c r="J61" s="23" t="str">
        <f>IMPRODUCT(Sheet1!$B$12,IMDIV(IMSUM($L$21,IMDIV(C61,Sheet1!$C$12)),IMSUM($L$21,IMDIV(C61,Sheet1!$D$12))))</f>
        <v>0,545164290846805-0,224135561932049i</v>
      </c>
      <c r="K61" s="23">
        <f t="shared" si="31"/>
        <v>-4.5911911598933646</v>
      </c>
      <c r="L61" s="23">
        <f t="shared" si="32"/>
        <v>-22.349228947417359</v>
      </c>
      <c r="M61" s="23" t="str">
        <f t="shared" si="33"/>
        <v>-0,170802642073978-0,699902512689777i</v>
      </c>
      <c r="N61" s="23">
        <f t="shared" si="34"/>
        <v>-2.8480162358017891</v>
      </c>
      <c r="O61" s="23">
        <f t="shared" si="35"/>
        <v>-103.71427881251007</v>
      </c>
      <c r="P61" s="23" t="str">
        <f>IMPRODUCT(-Sheet1!$D$6,IMDIV(IMSUM(COMPLEX(1,0),IMDIV(Sheet1!$B$6,C61)),IMSUM(COMPLEX(1,0),IMDIV(C61,Sheet1!$C$6))))</f>
        <v>-0,671575250037664+0,190602365130729i</v>
      </c>
      <c r="Q61" s="23">
        <f t="shared" si="36"/>
        <v>-3.1216564360080783</v>
      </c>
      <c r="R61" s="23">
        <f t="shared" si="37"/>
        <v>164.15532299971991</v>
      </c>
      <c r="S61" s="23" t="str">
        <f t="shared" si="38"/>
        <v>0,248109901337537+0,437481817411749i</v>
      </c>
      <c r="T61" s="23">
        <f t="shared" si="39"/>
        <v>-5.9696726718098638</v>
      </c>
      <c r="U61" s="23">
        <f t="shared" si="40"/>
        <v>60.441044187209869</v>
      </c>
      <c r="V61" s="23" t="str">
        <f>IMPRODUCT(-Sheet1!$J$6,IMDIV(IMSUM(COMPLEX(1,0),IMDIV(Sheet1!$H$6,C61)),IMSUM(COMPLEX(1,0),IMDIV(C61,Sheet1!$I$6))))</f>
        <v>-0,670095974926789+0,189983087283497i</v>
      </c>
      <c r="W61" s="23">
        <f t="shared" si="19"/>
        <v>-3.141488606678867</v>
      </c>
      <c r="X61" s="23">
        <f t="shared" si="20"/>
        <v>164.17110582697194</v>
      </c>
      <c r="Y61" s="23" t="str">
        <f t="shared" si="21"/>
        <v>0,247423803118914+0,436552243337173i</v>
      </c>
      <c r="Z61" s="23">
        <f t="shared" si="22"/>
        <v>-5.9895048424806578</v>
      </c>
      <c r="AA61" s="23">
        <f t="shared" si="23"/>
        <v>60.456827014461894</v>
      </c>
      <c r="AB61" s="23"/>
    </row>
    <row r="62" spans="1:28" x14ac:dyDescent="0.25">
      <c r="A62" s="23">
        <f t="shared" si="41"/>
        <v>38</v>
      </c>
      <c r="B62" s="23">
        <f>EXP(((A62)*((LN('FB analysis'!$B$26*1000)-LN('FB analysis'!$B$25))/50))+LN('FB analysis'!$B$25))</f>
        <v>1905.4607179632485</v>
      </c>
      <c r="C62" s="36" t="str">
        <f t="shared" si="24"/>
        <v>11972,3627865145i</v>
      </c>
      <c r="D62" s="23" t="str">
        <f t="shared" si="25"/>
        <v>1+0,047889451146058i</v>
      </c>
      <c r="E62" s="23" t="str">
        <f t="shared" si="26"/>
        <v>1+5,71746073854561i</v>
      </c>
      <c r="F62" s="23" t="str">
        <f t="shared" si="27"/>
        <v>0,102323793948743i</v>
      </c>
      <c r="G62" s="23" t="str">
        <f t="shared" si="28"/>
        <v>0,126575963199773-1,0620144740058i</v>
      </c>
      <c r="H62" s="23">
        <f t="shared" si="29"/>
        <v>0.58386623906318758</v>
      </c>
      <c r="I62" s="23">
        <f t="shared" si="30"/>
        <v>-83.20327653347826</v>
      </c>
      <c r="J62" s="23" t="str">
        <f>IMPRODUCT(Sheet1!$B$12,IMDIV(IMSUM($L$21,IMDIV(C62,Sheet1!$C$12)),IMSUM($L$21,IMDIV(C62,Sheet1!$D$12))))</f>
        <v>0,522609522186365-0,204917766209262i</v>
      </c>
      <c r="K62" s="23">
        <f t="shared" si="31"/>
        <v>-5.0153505289466924</v>
      </c>
      <c r="L62" s="23">
        <f t="shared" si="32"/>
        <v>-21.410390135919631</v>
      </c>
      <c r="M62" s="23" t="str">
        <f t="shared" si="33"/>
        <v>-0,151475830047061-0,580956540449858i</v>
      </c>
      <c r="N62" s="23">
        <f t="shared" si="34"/>
        <v>-4.4314842898835041</v>
      </c>
      <c r="O62" s="23">
        <f t="shared" si="35"/>
        <v>-104.61366666939792</v>
      </c>
      <c r="P62" s="23" t="str">
        <f>IMPRODUCT(-Sheet1!$D$6,IMDIV(IMSUM(COMPLEX(1,0),IMDIV(Sheet1!$B$6,C62)),IMSUM(COMPLEX(1,0),IMDIV(C62,Sheet1!$C$6))))</f>
        <v>-0,663061664583984+0,202171995150396i</v>
      </c>
      <c r="Q62" s="23">
        <f t="shared" si="36"/>
        <v>-3.1828465732405946</v>
      </c>
      <c r="R62" s="23">
        <f t="shared" si="37"/>
        <v>163.043180935892</v>
      </c>
      <c r="S62" s="23" t="str">
        <f t="shared" si="38"/>
        <v>0,217890958893664+0,354585839983959i</v>
      </c>
      <c r="T62" s="23">
        <f t="shared" si="39"/>
        <v>-7.6143308631241027</v>
      </c>
      <c r="U62" s="23">
        <f t="shared" si="40"/>
        <v>58.429514266494159</v>
      </c>
      <c r="V62" s="23" t="str">
        <f>IMPRODUCT(-Sheet1!$J$6,IMDIV(IMSUM(COMPLEX(1,0),IMDIV(Sheet1!$H$6,C62)),IMSUM(COMPLEX(1,0),IMDIV(C62,Sheet1!$I$6))))</f>
        <v>-0,661600130026826+0,201554998605474i</v>
      </c>
      <c r="W62" s="23">
        <f t="shared" si="19"/>
        <v>-3.202640729807213</v>
      </c>
      <c r="X62" s="23">
        <f t="shared" si="20"/>
        <v>163.0567600807675</v>
      </c>
      <c r="Y62" s="23" t="str">
        <f t="shared" si="21"/>
        <v>0,217311123555269+0,353830211987663i</v>
      </c>
      <c r="Z62" s="23">
        <f t="shared" si="22"/>
        <v>-7.6341250196907131</v>
      </c>
      <c r="AA62" s="23">
        <f t="shared" si="23"/>
        <v>58.443093411369645</v>
      </c>
      <c r="AB62" s="23"/>
    </row>
    <row r="63" spans="1:28" x14ac:dyDescent="0.25">
      <c r="A63" s="23">
        <f t="shared" si="41"/>
        <v>39</v>
      </c>
      <c r="B63" s="23">
        <f>EXP(((A63)*((LN('FB analysis'!$B$26*1000)-LN('FB analysis'!$B$25))/50))+LN('FB analysis'!$B$25))</f>
        <v>2187.7616239495546</v>
      </c>
      <c r="C63" s="36" t="str">
        <f t="shared" si="24"/>
        <v>13746,1116912112i</v>
      </c>
      <c r="D63" s="23" t="str">
        <f t="shared" si="25"/>
        <v>1+0,0549844467648448i</v>
      </c>
      <c r="E63" s="23" t="str">
        <f t="shared" si="26"/>
        <v>1+6,56452325272741i</v>
      </c>
      <c r="F63" s="23" t="str">
        <f t="shared" si="27"/>
        <v>0,117483434587551i</v>
      </c>
      <c r="G63" s="23" t="str">
        <f t="shared" si="28"/>
        <v>0,0826585462788089-0,931195112419233i</v>
      </c>
      <c r="H63" s="23">
        <f t="shared" si="29"/>
        <v>-0.58510047750867222</v>
      </c>
      <c r="I63" s="23">
        <f t="shared" si="30"/>
        <v>-84.92737309313307</v>
      </c>
      <c r="J63" s="23" t="str">
        <f>IMPRODUCT(Sheet1!$B$12,IMDIV(IMSUM($L$21,IMDIV(C63,Sheet1!$C$12)),IMSUM($L$21,IMDIV(C63,Sheet1!$D$12))))</f>
        <v>0,503945710522155-0,185469599716568i</v>
      </c>
      <c r="K63" s="23">
        <f t="shared" si="31"/>
        <v>-5.4006460425892957</v>
      </c>
      <c r="L63" s="23">
        <f t="shared" si="32"/>
        <v>-20.205375325289975</v>
      </c>
      <c r="M63" s="23" t="str">
        <f t="shared" si="33"/>
        <v>-0,131052964923217-0,484602430054352i</v>
      </c>
      <c r="N63" s="23">
        <f t="shared" si="34"/>
        <v>-5.985746520097976</v>
      </c>
      <c r="O63" s="23">
        <f t="shared" si="35"/>
        <v>-105.13274841842306</v>
      </c>
      <c r="P63" s="23" t="str">
        <f>IMPRODUCT(-Sheet1!$D$6,IMDIV(IMSUM(COMPLEX(1,0),IMDIV(Sheet1!$B$6,C63)),IMSUM(COMPLEX(1,0),IMDIV(C63,Sheet1!$C$6))))</f>
        <v>-0,652162983070475+0,2164063686356i</v>
      </c>
      <c r="Q63" s="23">
        <f t="shared" si="36"/>
        <v>-3.2592159463166253</v>
      </c>
      <c r="R63" s="23">
        <f t="shared" si="37"/>
        <v>161.64267646914681</v>
      </c>
      <c r="S63" s="23" t="str">
        <f t="shared" si="38"/>
        <v>0,190338944664605+0,287679070149486i</v>
      </c>
      <c r="T63" s="23">
        <f t="shared" si="39"/>
        <v>-9.2449624664145915</v>
      </c>
      <c r="U63" s="23">
        <f t="shared" si="40"/>
        <v>56.509928050723843</v>
      </c>
      <c r="V63" s="23" t="str">
        <f>IMPRODUCT(-Sheet1!$J$6,IMDIV(IMSUM(COMPLEX(1,0),IMDIV(Sheet1!$H$6,C63)),IMSUM(COMPLEX(1,0),IMDIV(C63,Sheet1!$I$6))))</f>
        <v>-0,650724197057715+0,215782294093957i</v>
      </c>
      <c r="W63" s="23">
        <f t="shared" si="19"/>
        <v>-3.2789846528652733</v>
      </c>
      <c r="X63" s="23">
        <f t="shared" si="20"/>
        <v>161.65430844323322</v>
      </c>
      <c r="Y63" s="23" t="str">
        <f t="shared" si="21"/>
        <v>0,189847959452328+0,287063617770389i</v>
      </c>
      <c r="Z63" s="23">
        <f t="shared" si="22"/>
        <v>-9.2647311729632449</v>
      </c>
      <c r="AA63" s="23">
        <f t="shared" si="23"/>
        <v>56.5215600248101</v>
      </c>
      <c r="AB63" s="23"/>
    </row>
    <row r="64" spans="1:28" x14ac:dyDescent="0.25">
      <c r="A64" s="23">
        <f t="shared" si="41"/>
        <v>40</v>
      </c>
      <c r="B64" s="23">
        <f>EXP(((A64)*((LN('FB analysis'!$B$26*1000)-LN('FB analysis'!$B$25))/50))+LN('FB analysis'!$B$25))</f>
        <v>2511.8864315095811</v>
      </c>
      <c r="C64" s="36" t="str">
        <f t="shared" si="24"/>
        <v>15782,6479197648i</v>
      </c>
      <c r="D64" s="23" t="str">
        <f t="shared" si="25"/>
        <v>1+0,0631305916790592i</v>
      </c>
      <c r="E64" s="23" t="str">
        <f t="shared" si="26"/>
        <v>1+7,53708114601948i</v>
      </c>
      <c r="F64" s="23" t="str">
        <f t="shared" si="27"/>
        <v>0,134889030887589i</v>
      </c>
      <c r="G64" s="23" t="str">
        <f t="shared" si="28"/>
        <v>0,0489070943249149-0,814971226332528i</v>
      </c>
      <c r="H64" s="23">
        <f t="shared" si="29"/>
        <v>-1.7615423395953724</v>
      </c>
      <c r="I64" s="23">
        <f t="shared" si="30"/>
        <v>-86.565751728311042</v>
      </c>
      <c r="J64" s="23" t="str">
        <f>IMPRODUCT(Sheet1!$B$12,IMDIV(IMSUM($L$21,IMDIV(C64,Sheet1!$C$12)),IMSUM($L$21,IMDIV(C64,Sheet1!$D$12))))</f>
        <v>0,488782234571586-0,166486121680971i</v>
      </c>
      <c r="K64" s="23">
        <f t="shared" si="31"/>
        <v>-5.740979888259929</v>
      </c>
      <c r="L64" s="23">
        <f t="shared" si="32"/>
        <v>-18.809566782212382</v>
      </c>
      <c r="M64" s="23" t="str">
        <f t="shared" si="33"/>
        <v>-0,111776479903152-0,406485809575199i</v>
      </c>
      <c r="N64" s="23">
        <f t="shared" si="34"/>
        <v>-7.5025222278553088</v>
      </c>
      <c r="O64" s="23">
        <f t="shared" si="35"/>
        <v>-105.3753185105234</v>
      </c>
      <c r="P64" s="23" t="str">
        <f>IMPRODUCT(-Sheet1!$D$6,IMDIV(IMSUM(COMPLEX(1,0),IMDIV(Sheet1!$B$6,C64)),IMSUM(COMPLEX(1,0),IMDIV(C64,Sheet1!$C$6))))</f>
        <v>-0,63833157578723+0,233051143968119i</v>
      </c>
      <c r="Q64" s="23">
        <f t="shared" si="36"/>
        <v>-3.3556484640722939</v>
      </c>
      <c r="R64" s="23">
        <f t="shared" si="37"/>
        <v>159.9431562054605</v>
      </c>
      <c r="S64" s="23" t="str">
        <f t="shared" si="38"/>
        <v>0,166082439480836+0,233423090851126i</v>
      </c>
      <c r="T64" s="23">
        <f t="shared" si="39"/>
        <v>-10.858170691927588</v>
      </c>
      <c r="U64" s="23">
        <f t="shared" si="40"/>
        <v>54.567837694937076</v>
      </c>
      <c r="V64" s="23" t="str">
        <f>IMPRODUCT(-Sheet1!$J$6,IMDIV(IMSUM(COMPLEX(1,0),IMDIV(Sheet1!$H$6,C64)),IMSUM(COMPLEX(1,0),IMDIV(C64,Sheet1!$I$6))))</f>
        <v>-0,636921721067763+0,23241157561729i</v>
      </c>
      <c r="W64" s="23">
        <f t="shared" si="19"/>
        <v>-3.375402161734022</v>
      </c>
      <c r="X64" s="23">
        <f t="shared" si="20"/>
        <v>159.95306613053762</v>
      </c>
      <c r="Y64" s="23" t="str">
        <f t="shared" si="21"/>
        <v>0,165664875424254+0,232921493613013i</v>
      </c>
      <c r="Z64" s="23">
        <f t="shared" si="22"/>
        <v>-10.877924389589316</v>
      </c>
      <c r="AA64" s="23">
        <f t="shared" si="23"/>
        <v>54.577747620014179</v>
      </c>
      <c r="AB64" s="23"/>
    </row>
    <row r="65" spans="1:28" x14ac:dyDescent="0.25">
      <c r="A65" s="23">
        <f t="shared" si="41"/>
        <v>41</v>
      </c>
      <c r="B65" s="23">
        <f>EXP(((A65)*((LN('FB analysis'!$B$26*1000)-LN('FB analysis'!$B$25))/50))+LN('FB analysis'!$B$25))</f>
        <v>2884.0315031266077</v>
      </c>
      <c r="C65" s="36" t="str">
        <f t="shared" si="24"/>
        <v>18120,9043658882i</v>
      </c>
      <c r="D65" s="23" t="str">
        <f t="shared" si="25"/>
        <v>1+0,0724836174635528i</v>
      </c>
      <c r="E65" s="23" t="str">
        <f t="shared" si="26"/>
        <v>1+8,65372701331815i</v>
      </c>
      <c r="F65" s="23" t="str">
        <f t="shared" si="27"/>
        <v>0,15487332931379i</v>
      </c>
      <c r="G65" s="23" t="str">
        <f t="shared" si="28"/>
        <v>0,023040208013517-0,712170185169584i</v>
      </c>
      <c r="H65" s="23">
        <f t="shared" si="29"/>
        <v>-2.9437810331323599</v>
      </c>
      <c r="I65" s="23">
        <f t="shared" si="30"/>
        <v>-88.147006954805349</v>
      </c>
      <c r="J65" s="23" t="str">
        <f>IMPRODUCT(Sheet1!$B$12,IMDIV(IMSUM($L$21,IMDIV(C65,Sheet1!$C$12)),IMSUM($L$21,IMDIV(C65,Sheet1!$D$12))))</f>
        <v>0,476645101862939-0,148453372598589i</v>
      </c>
      <c r="K65" s="23">
        <f t="shared" si="31"/>
        <v>-6.0340150005511166</v>
      </c>
      <c r="L65" s="23">
        <f t="shared" si="32"/>
        <v>-17.299447224098685</v>
      </c>
      <c r="M65" s="23" t="str">
        <f t="shared" si="33"/>
        <v>-0,0947420635570403-0,342872827038884i</v>
      </c>
      <c r="N65" s="23">
        <f t="shared" si="34"/>
        <v>-8.9777960336834788</v>
      </c>
      <c r="O65" s="23">
        <f t="shared" si="35"/>
        <v>-105.44645417890403</v>
      </c>
      <c r="P65" s="23" t="str">
        <f>IMPRODUCT(-Sheet1!$D$6,IMDIV(IMSUM(COMPLEX(1,0),IMDIV(Sheet1!$B$6,C65)),IMSUM(COMPLEX(1,0),IMDIV(C65,Sheet1!$C$6))))</f>
        <v>-0,620970322616197+0,25170366669074i</v>
      </c>
      <c r="Q65" s="23">
        <f t="shared" si="36"/>
        <v>-3.4779343658699369</v>
      </c>
      <c r="R65" s="23">
        <f t="shared" si="37"/>
        <v>157.93535417162192</v>
      </c>
      <c r="S65" s="23" t="str">
        <f t="shared" si="38"/>
        <v>0,145134357546647+0,189066925235509i</v>
      </c>
      <c r="T65" s="23">
        <f t="shared" si="39"/>
        <v>-12.45573039955341</v>
      </c>
      <c r="U65" s="23">
        <f t="shared" si="40"/>
        <v>52.488899992717776</v>
      </c>
      <c r="V65" s="23" t="str">
        <f>IMPRODUCT(-Sheet1!$J$6,IMDIV(IMSUM(COMPLEX(1,0),IMDIV(Sheet1!$H$6,C65)),IMSUM(COMPLEX(1,0),IMDIV(C65,Sheet1!$I$6))))</f>
        <v>-0,619596879724409+0,25104137833522i</v>
      </c>
      <c r="W65" s="23">
        <f t="shared" si="19"/>
        <v>-3.4976820130289292</v>
      </c>
      <c r="X65" s="23">
        <f t="shared" si="20"/>
        <v>157.94374003359991</v>
      </c>
      <c r="Y65" s="23" t="str">
        <f t="shared" si="21"/>
        <v>0,144777154052129+0,188658755553897i</v>
      </c>
      <c r="Z65" s="23">
        <f t="shared" si="22"/>
        <v>-12.475478046712407</v>
      </c>
      <c r="AA65" s="23">
        <f t="shared" si="23"/>
        <v>52.497285854695818</v>
      </c>
      <c r="AB65" s="23"/>
    </row>
    <row r="66" spans="1:28" x14ac:dyDescent="0.25">
      <c r="A66" s="23">
        <f t="shared" si="41"/>
        <v>42</v>
      </c>
      <c r="B66" s="23">
        <f>EXP(((A66)*((LN('FB analysis'!$B$26*1000)-LN('FB analysis'!$B$25))/50))+LN('FB analysis'!$B$25))</f>
        <v>3311.3112148259174</v>
      </c>
      <c r="C66" s="36" t="str">
        <f t="shared" si="24"/>
        <v>20805,5819724932i</v>
      </c>
      <c r="D66" s="23" t="str">
        <f t="shared" si="25"/>
        <v>1+0,0832223278899728i</v>
      </c>
      <c r="E66" s="23" t="str">
        <f t="shared" si="26"/>
        <v>1+9,93580800978663i</v>
      </c>
      <c r="F66" s="23" t="str">
        <f t="shared" si="27"/>
        <v>0,177818373924908i</v>
      </c>
      <c r="G66" s="23" t="str">
        <f t="shared" si="28"/>
        <v>0,00325391129430633-0,621536192014566i</v>
      </c>
      <c r="H66" s="23">
        <f t="shared" si="29"/>
        <v>-4.1305525167594528</v>
      </c>
      <c r="I66" s="23">
        <f t="shared" si="30"/>
        <v>-89.70004372517883</v>
      </c>
      <c r="J66" s="23" t="str">
        <f>IMPRODUCT(Sheet1!$B$12,IMDIV(IMSUM($L$21,IMDIV(C66,Sheet1!$C$12)),IMSUM($L$21,IMDIV(C66,Sheet1!$D$12))))</f>
        <v>0,467045833230185-0,131674015931499i</v>
      </c>
      <c r="K66" s="23">
        <f t="shared" si="31"/>
        <v>-6.280646802943334</v>
      </c>
      <c r="L66" s="23">
        <f t="shared" si="32"/>
        <v>-15.744712054334924</v>
      </c>
      <c r="M66" s="23" t="str">
        <f t="shared" si="33"/>
        <v>-0,0803204407376228-0,290714344249765i</v>
      </c>
      <c r="N66" s="23">
        <f t="shared" si="34"/>
        <v>-10.411199319702799</v>
      </c>
      <c r="O66" s="23">
        <f t="shared" si="35"/>
        <v>-105.44475577951376</v>
      </c>
      <c r="P66" s="23" t="str">
        <f>IMPRODUCT(-Sheet1!$D$6,IMDIV(IMSUM(COMPLEX(1,0),IMDIV(Sheet1!$B$6,C66)),IMSUM(COMPLEX(1,0),IMDIV(C66,Sheet1!$C$6))))</f>
        <v>-0,599476822737839+0,271762833925323i</v>
      </c>
      <c r="Q66" s="23">
        <f t="shared" si="36"/>
        <v>-3.6328398454259148</v>
      </c>
      <c r="R66" s="23">
        <f t="shared" si="37"/>
        <v>155.61362829426162</v>
      </c>
      <c r="S66" s="23" t="str">
        <f t="shared" si="38"/>
        <v>0,127155596670351+0,152448400818176i</v>
      </c>
      <c r="T66" s="23">
        <f t="shared" si="39"/>
        <v>-14.044039165128719</v>
      </c>
      <c r="U66" s="23">
        <f t="shared" si="40"/>
        <v>50.168872514747839</v>
      </c>
      <c r="V66" s="23" t="str">
        <f>IMPRODUCT(-Sheet1!$J$6,IMDIV(IMSUM(COMPLEX(1,0),IMDIV(Sheet1!$H$6,C66)),IMSUM(COMPLEX(1,0),IMDIV(C66,Sheet1!$I$6))))</f>
        <v>-0,598148608021431+0,271072153852591i</v>
      </c>
      <c r="W66" s="23">
        <f t="shared" si="19"/>
        <v>-3.6525893841355703</v>
      </c>
      <c r="X66" s="23">
        <f t="shared" si="20"/>
        <v>155.62066524861589</v>
      </c>
      <c r="Y66" s="23" t="str">
        <f t="shared" si="21"/>
        <v>0,126848123274504+0,152117745475723i</v>
      </c>
      <c r="Z66" s="23">
        <f t="shared" si="22"/>
        <v>-14.063788703838387</v>
      </c>
      <c r="AA66" s="23">
        <f t="shared" si="23"/>
        <v>50.175909469102145</v>
      </c>
      <c r="AB66" s="23"/>
    </row>
    <row r="67" spans="1:28" x14ac:dyDescent="0.25">
      <c r="A67" s="23">
        <f t="shared" si="41"/>
        <v>43</v>
      </c>
      <c r="B67" s="23">
        <f>EXP(((A67)*((LN('FB analysis'!$B$26*1000)-LN('FB analysis'!$B$25))/50))+LN('FB analysis'!$B$25))</f>
        <v>3801.8939632056172</v>
      </c>
      <c r="C67" s="36" t="str">
        <f t="shared" si="24"/>
        <v>23888,0042890683i</v>
      </c>
      <c r="D67" s="23" t="str">
        <f t="shared" si="25"/>
        <v>1+0,0955520171562732i</v>
      </c>
      <c r="E67" s="23" t="str">
        <f t="shared" si="26"/>
        <v>1+11,4078339489342i</v>
      </c>
      <c r="F67" s="23" t="str">
        <f t="shared" si="27"/>
        <v>0,20416280999057i</v>
      </c>
      <c r="G67" s="23" t="str">
        <f t="shared" si="28"/>
        <v>-0,0118641723196767-0,541812356708856i</v>
      </c>
      <c r="H67" s="23">
        <f t="shared" si="29"/>
        <v>-5.3209400035417156</v>
      </c>
      <c r="I67" s="23">
        <f t="shared" si="30"/>
        <v>-91.254416547763611</v>
      </c>
      <c r="J67" s="23" t="str">
        <f>IMPRODUCT(Sheet1!$B$12,IMDIV(IMSUM($L$21,IMDIV(C67,Sheet1!$C$12)),IMSUM($L$21,IMDIV(C67,Sheet1!$D$12))))</f>
        <v>0,459525343807407-0,116304904166749i</v>
      </c>
      <c r="K67" s="23">
        <f t="shared" si="31"/>
        <v>-6.4841553608802025</v>
      </c>
      <c r="L67" s="23">
        <f t="shared" si="32"/>
        <v>-14.203177478789137</v>
      </c>
      <c r="M67" s="23" t="str">
        <f t="shared" si="33"/>
        <v>-0,0684673220875737-0,247596648071081i</v>
      </c>
      <c r="N67" s="23">
        <f t="shared" si="34"/>
        <v>-11.805095364421909</v>
      </c>
      <c r="O67" s="23">
        <f t="shared" si="35"/>
        <v>-105.45759402655273</v>
      </c>
      <c r="P67" s="23" t="str">
        <f>IMPRODUCT(-Sheet1!$D$6,IMDIV(IMSUM(COMPLEX(1,0),IMDIV(Sheet1!$B$6,C67)),IMSUM(COMPLEX(1,0),IMDIV(C67,Sheet1!$C$6))))</f>
        <v>-0,57331721215181+0,292388267391897i</v>
      </c>
      <c r="Q67" s="23">
        <f t="shared" si="36"/>
        <v>-3.8280718041224833</v>
      </c>
      <c r="R67" s="23">
        <f t="shared" si="37"/>
        <v>152.9786968480953</v>
      </c>
      <c r="S67" s="23" t="str">
        <f t="shared" si="38"/>
        <v>0,111647849164292+0,121932378332096i</v>
      </c>
      <c r="T67" s="23">
        <f t="shared" si="39"/>
        <v>-15.633167168544421</v>
      </c>
      <c r="U67" s="23">
        <f t="shared" si="40"/>
        <v>47.521102821542591</v>
      </c>
      <c r="V67" s="23" t="str">
        <f>IMPRODUCT(-Sheet1!$J$6,IMDIV(IMSUM(COMPLEX(1,0),IMDIV(Sheet1!$H$6,C67)),IMSUM(COMPLEX(1,0),IMDIV(C67,Sheet1!$I$6))))</f>
        <v>-0,572044267936002+0,291665547112712i</v>
      </c>
      <c r="W67" s="23">
        <f t="shared" si="19"/>
        <v>-3.8478304607443587</v>
      </c>
      <c r="X67" s="23">
        <f t="shared" si="20"/>
        <v>152.98454147459762</v>
      </c>
      <c r="Y67" s="23" t="str">
        <f t="shared" si="21"/>
        <v>0,11138175096405+0,121666684333215i</v>
      </c>
      <c r="Z67" s="23">
        <f t="shared" si="22"/>
        <v>-15.652925825166268</v>
      </c>
      <c r="AA67" s="23">
        <f t="shared" si="23"/>
        <v>47.526947448044865</v>
      </c>
      <c r="AB67" s="23"/>
    </row>
    <row r="68" spans="1:28" x14ac:dyDescent="0.25">
      <c r="A68" s="23">
        <f t="shared" si="41"/>
        <v>44</v>
      </c>
      <c r="B68" s="23">
        <f>EXP(((A68)*((LN('FB analysis'!$B$26*1000)-LN('FB analysis'!$B$25))/50))+LN('FB analysis'!$B$25))</f>
        <v>4365.1583224016631</v>
      </c>
      <c r="C68" s="36" t="str">
        <f t="shared" si="24"/>
        <v>27427,0986348268i</v>
      </c>
      <c r="D68" s="23" t="str">
        <f t="shared" si="25"/>
        <v>1+0,109708394539307i</v>
      </c>
      <c r="E68" s="23" t="str">
        <f t="shared" si="26"/>
        <v>1+13,0979458619039i</v>
      </c>
      <c r="F68" s="23" t="str">
        <f t="shared" si="27"/>
        <v>0,234410269665652i</v>
      </c>
      <c r="G68" s="23" t="str">
        <f t="shared" si="28"/>
        <v>-0,023411648154131-0,471790584536606i</v>
      </c>
      <c r="H68" s="23">
        <f t="shared" si="29"/>
        <v>-6.5143335201759403</v>
      </c>
      <c r="I68" s="23">
        <f t="shared" si="30"/>
        <v>-92.840856238683827</v>
      </c>
      <c r="J68" s="23" t="str">
        <f>IMPRODUCT(Sheet1!$B$12,IMDIV(IMSUM($L$21,IMDIV(C68,Sheet1!$C$12)),IMSUM($L$21,IMDIV(C68,Sheet1!$D$12))))</f>
        <v>0,453677071199868-0,102395668314426i</v>
      </c>
      <c r="K68" s="23">
        <f t="shared" si="31"/>
        <v>-6.6492790442180105</v>
      </c>
      <c r="L68" s="23">
        <f t="shared" si="32"/>
        <v>-12.718642757442479</v>
      </c>
      <c r="M68" s="23" t="str">
        <f t="shared" si="33"/>
        <v>-0,0589306401746074-0,211643319253157i</v>
      </c>
      <c r="N68" s="23">
        <f t="shared" si="34"/>
        <v>-13.163612564393938</v>
      </c>
      <c r="O68" s="23">
        <f t="shared" si="35"/>
        <v>-105.55949899612628</v>
      </c>
      <c r="P68" s="23" t="str">
        <f>IMPRODUCT(-Sheet1!$D$6,IMDIV(IMSUM(COMPLEX(1,0),IMDIV(Sheet1!$B$6,C68)),IMSUM(COMPLEX(1,0),IMDIV(C68,Sheet1!$C$6))))</f>
        <v>-0,542130966683204+0,312486494255825i</v>
      </c>
      <c r="Q68" s="23">
        <f t="shared" si="36"/>
        <v>-4.0720856339266209</v>
      </c>
      <c r="R68" s="23">
        <f t="shared" si="37"/>
        <v>150.0406766862564</v>
      </c>
      <c r="S68" s="23" t="str">
        <f t="shared" si="38"/>
        <v>0,0980838037912053+0,0963233681063413i</v>
      </c>
      <c r="T68" s="23">
        <f t="shared" si="39"/>
        <v>-17.235698198320566</v>
      </c>
      <c r="U68" s="23">
        <f t="shared" si="40"/>
        <v>44.481177690130096</v>
      </c>
      <c r="V68" s="23" t="str">
        <f>IMPRODUCT(-Sheet1!$J$6,IMDIV(IMSUM(COMPLEX(1,0),IMDIV(Sheet1!$H$6,C68)),IMSUM(COMPLEX(1,0),IMDIV(C68,Sheet1!$I$6))))</f>
        <v>-0,540924234053884+0,311730630323658i</v>
      </c>
      <c r="W68" s="23">
        <f t="shared" si="19"/>
        <v>-4.0918600544682437</v>
      </c>
      <c r="X68" s="23">
        <f t="shared" si="20"/>
        <v>150.04547103324279</v>
      </c>
      <c r="Y68" s="23" t="str">
        <f t="shared" si="21"/>
        <v>0,0978527167133323+0,0961125147526284i</v>
      </c>
      <c r="Z68" s="23">
        <f t="shared" si="22"/>
        <v>-17.255472618862193</v>
      </c>
      <c r="AA68" s="23">
        <f t="shared" si="23"/>
        <v>44.48597203711649</v>
      </c>
      <c r="AB68" s="23"/>
    </row>
    <row r="69" spans="1:28" x14ac:dyDescent="0.25">
      <c r="A69" s="23">
        <f t="shared" si="41"/>
        <v>45</v>
      </c>
      <c r="B69" s="23">
        <f>EXP(((A69)*((LN('FB analysis'!$B$26*1000)-LN('FB analysis'!$B$25))/50))+LN('FB analysis'!$B$25))</f>
        <v>5011.8723362727242</v>
      </c>
      <c r="C69" s="36" t="str">
        <f t="shared" si="24"/>
        <v>31490,5226247286i</v>
      </c>
      <c r="D69" s="23" t="str">
        <f t="shared" si="25"/>
        <v>1+0,125962090498914i</v>
      </c>
      <c r="E69" s="23" t="str">
        <f t="shared" si="26"/>
        <v>1+15,0384539755151i</v>
      </c>
      <c r="F69" s="23" t="str">
        <f t="shared" si="27"/>
        <v>0,269139000032679i</v>
      </c>
      <c r="G69" s="23" t="str">
        <f t="shared" si="28"/>
        <v>-0,0322365931531107-0,410339054788868i</v>
      </c>
      <c r="H69" s="23">
        <f t="shared" si="29"/>
        <v>-7.710421469237474</v>
      </c>
      <c r="I69" s="23">
        <f t="shared" si="30"/>
        <v>-94.491980231567865</v>
      </c>
      <c r="J69" s="23" t="str">
        <f>IMPRODUCT(Sheet1!$B$12,IMDIV(IMSUM($L$21,IMDIV(C69,Sheet1!$C$12)),IMSUM($L$21,IMDIV(C69,Sheet1!$D$12))))</f>
        <v>0,449155410143724-0,0899225106455378i</v>
      </c>
      <c r="K69" s="23">
        <f t="shared" si="31"/>
        <v>-6.781393729752927</v>
      </c>
      <c r="L69" s="23">
        <f t="shared" si="32"/>
        <v>-11.321146403004748</v>
      </c>
      <c r="M69" s="23" t="str">
        <f t="shared" si="33"/>
        <v>-0,0513779582418537-0,181407211060696i</v>
      </c>
      <c r="N69" s="23">
        <f t="shared" si="34"/>
        <v>-14.491815198990384</v>
      </c>
      <c r="O69" s="23">
        <f t="shared" si="35"/>
        <v>-105.81312663457257</v>
      </c>
      <c r="P69" s="23" t="str">
        <f>IMPRODUCT(-Sheet1!$D$6,IMDIV(IMSUM(COMPLEX(1,0),IMDIV(Sheet1!$B$6,C69)),IMSUM(COMPLEX(1,0),IMDIV(C69,Sheet1!$C$6))))</f>
        <v>-0,505856935557734+0,330746209104115i</v>
      </c>
      <c r="Q69" s="23">
        <f t="shared" si="36"/>
        <v>-4.3736900048802667</v>
      </c>
      <c r="R69" s="23">
        <f t="shared" si="37"/>
        <v>146.82199635223103</v>
      </c>
      <c r="S69" s="23" t="str">
        <f t="shared" si="38"/>
        <v>0,0859896438739125+0,0747730309552359i</v>
      </c>
      <c r="T69" s="23">
        <f t="shared" si="39"/>
        <v>-18.865505203870669</v>
      </c>
      <c r="U69" s="23">
        <f t="shared" si="40"/>
        <v>41.008869717658428</v>
      </c>
      <c r="V69" s="23" t="str">
        <f>IMPRODUCT(-Sheet1!$J$6,IMDIV(IMSUM(COMPLEX(1,0),IMDIV(Sheet1!$H$6,C69)),IMSUM(COMPLEX(1,0),IMDIV(C69,Sheet1!$I$6))))</f>
        <v>-0,504727655235591+0,32995911952058i</v>
      </c>
      <c r="W69" s="23">
        <f t="shared" si="19"/>
        <v>-4.3934862277816276</v>
      </c>
      <c r="X69" s="23">
        <f t="shared" si="20"/>
        <v>146.82587151767584</v>
      </c>
      <c r="Y69" s="23" t="str">
        <f t="shared" si="21"/>
        <v>0,0857888400304741+0,0746086104172457i</v>
      </c>
      <c r="Z69" s="23">
        <f t="shared" si="22"/>
        <v>-18.885301426772024</v>
      </c>
      <c r="AA69" s="23">
        <f t="shared" si="23"/>
        <v>41.012744883103231</v>
      </c>
      <c r="AB69" s="23"/>
    </row>
    <row r="70" spans="1:28" x14ac:dyDescent="0.25">
      <c r="A70" s="23">
        <f t="shared" si="41"/>
        <v>46</v>
      </c>
      <c r="B70" s="23">
        <f>EXP(((A70)*((LN('FB analysis'!$B$26*1000)-LN('FB analysis'!$B$25))/50))+LN('FB analysis'!$B$25))</f>
        <v>5754.399373371567</v>
      </c>
      <c r="C70" s="36" t="str">
        <f t="shared" si="24"/>
        <v>36155,9575944116i</v>
      </c>
      <c r="D70" s="23" t="str">
        <f t="shared" si="25"/>
        <v>1+0,144623830377646i</v>
      </c>
      <c r="E70" s="23" t="str">
        <f t="shared" si="26"/>
        <v>1+17,2664553937018i</v>
      </c>
      <c r="F70" s="23" t="str">
        <f t="shared" si="27"/>
        <v>0,30901291757357i</v>
      </c>
      <c r="G70" s="23" t="str">
        <f t="shared" si="28"/>
        <v>-0,0389909058033865-0,356414556660121i</v>
      </c>
      <c r="H70" s="23">
        <f t="shared" si="29"/>
        <v>-8.9092242260534711</v>
      </c>
      <c r="I70" s="23">
        <f t="shared" si="30"/>
        <v>-96.243195303454883</v>
      </c>
      <c r="J70" s="23" t="str">
        <f>IMPRODUCT(Sheet1!$B$12,IMDIV(IMSUM($L$21,IMDIV(C70,Sheet1!$C$12)),IMSUM($L$21,IMDIV(C70,Sheet1!$D$12))))</f>
        <v>0,445675038381029-0,0788150611464839i</v>
      </c>
      <c r="K70" s="23">
        <f t="shared" si="31"/>
        <v>-6.8858935933443055</v>
      </c>
      <c r="L70" s="23">
        <f t="shared" si="32"/>
        <v>-10.028740284430988</v>
      </c>
      <c r="M70" s="23" t="str">
        <f t="shared" si="33"/>
        <v>-0,0454681085170998-0,155772000594006i</v>
      </c>
      <c r="N70" s="23">
        <f t="shared" si="34"/>
        <v>-15.795117819397781</v>
      </c>
      <c r="O70" s="23">
        <f t="shared" si="35"/>
        <v>-106.27193558788591</v>
      </c>
      <c r="P70" s="23" t="str">
        <f>IMPRODUCT(-Sheet1!$D$6,IMDIV(IMSUM(COMPLEX(1,0),IMDIV(Sheet1!$B$6,C70)),IMSUM(COMPLEX(1,0),IMDIV(C70,Sheet1!$C$6))))</f>
        <v>-0,46485458753447+0,345741363495076i</v>
      </c>
      <c r="Q70" s="23">
        <f t="shared" si="36"/>
        <v>-4.7414326687669028</v>
      </c>
      <c r="R70" s="23">
        <f t="shared" si="37"/>
        <v>143.35951644163242</v>
      </c>
      <c r="S70" s="23" t="str">
        <f t="shared" si="38"/>
        <v>0,0749928827104164+0,0566911232513018i</v>
      </c>
      <c r="T70" s="23">
        <f t="shared" si="39"/>
        <v>-20.536550488164679</v>
      </c>
      <c r="U70" s="23">
        <f t="shared" si="40"/>
        <v>37.087580853746559</v>
      </c>
      <c r="V70" s="23" t="str">
        <f>IMPRODUCT(-Sheet1!$J$6,IMDIV(IMSUM(COMPLEX(1,0),IMDIV(Sheet1!$H$6,C70)),IMSUM(COMPLEX(1,0),IMDIV(C70,Sheet1!$I$6))))</f>
        <v>-0,463813423621078+0,344928274928149i</v>
      </c>
      <c r="W70" s="23">
        <f t="shared" si="19"/>
        <v>-4.7612559538861285</v>
      </c>
      <c r="X70" s="23">
        <f t="shared" si="20"/>
        <v>143.36259535390673</v>
      </c>
      <c r="Y70" s="23" t="str">
        <f t="shared" si="21"/>
        <v>0,0748188865238879+0,0565659086647615i</v>
      </c>
      <c r="Z70" s="23">
        <f t="shared" si="22"/>
        <v>-20.556373773283902</v>
      </c>
      <c r="AA70" s="23">
        <f t="shared" si="23"/>
        <v>37.090659766020835</v>
      </c>
      <c r="AB70" s="23"/>
    </row>
    <row r="71" spans="1:28" x14ac:dyDescent="0.25">
      <c r="A71" s="23">
        <f t="shared" si="41"/>
        <v>47</v>
      </c>
      <c r="B71" s="23">
        <f>EXP(((A71)*((LN('FB analysis'!$B$26*1000)-LN('FB analysis'!$B$25))/50))+LN('FB analysis'!$B$25))</f>
        <v>6606.9344800759654</v>
      </c>
      <c r="C71" s="36" t="str">
        <f t="shared" si="24"/>
        <v>41512,5936507115i</v>
      </c>
      <c r="D71" s="23" t="str">
        <f t="shared" si="25"/>
        <v>1+0,166050374602846i</v>
      </c>
      <c r="E71" s="23" t="str">
        <f t="shared" si="26"/>
        <v>1+19,8245432906932i</v>
      </c>
      <c r="F71" s="23" t="str">
        <f t="shared" si="27"/>
        <v>0,354794300401413i</v>
      </c>
      <c r="G71" s="23" t="str">
        <f t="shared" si="28"/>
        <v>-0,0441724883585408-0,309064877796631i</v>
      </c>
      <c r="H71" s="23">
        <f t="shared" si="29"/>
        <v>-10.111187529684781</v>
      </c>
      <c r="I71" s="23">
        <f t="shared" si="30"/>
        <v>-98.133801793698595</v>
      </c>
      <c r="J71" s="23" t="str">
        <f>IMPRODUCT(Sheet1!$B$12,IMDIV(IMSUM($L$21,IMDIV(C71,Sheet1!$C$12)),IMSUM($L$21,IMDIV(C71,Sheet1!$D$12))))</f>
        <v>0,443005371142557-0,0689763039813344i</v>
      </c>
      <c r="K71" s="23">
        <f t="shared" si="31"/>
        <v>-6.9677911855816728</v>
      </c>
      <c r="L71" s="23">
        <f t="shared" si="32"/>
        <v>-8.8499413409908581</v>
      </c>
      <c r="M71" s="23" t="str">
        <f t="shared" si="33"/>
        <v>-0,04088680256042-0,133870545910795i</v>
      </c>
      <c r="N71" s="23">
        <f t="shared" si="34"/>
        <v>-17.078978715266448</v>
      </c>
      <c r="O71" s="23">
        <f t="shared" si="35"/>
        <v>-106.98374313468942</v>
      </c>
      <c r="P71" s="23" t="str">
        <f>IMPRODUCT(-Sheet1!$D$6,IMDIV(IMSUM(COMPLEX(1,0),IMDIV(Sheet1!$B$6,C71)),IMSUM(COMPLEX(1,0),IMDIV(C71,Sheet1!$C$6))))</f>
        <v>-0,419979145046372+0,356104502341892i</v>
      </c>
      <c r="Q71" s="23">
        <f t="shared" si="36"/>
        <v>-5.1828097461367388</v>
      </c>
      <c r="R71" s="23">
        <f t="shared" si="37"/>
        <v>139.70505630756972</v>
      </c>
      <c r="S71" s="23" t="str">
        <f t="shared" si="38"/>
        <v>0,064843508512806+0,0416628629403771i</v>
      </c>
      <c r="T71" s="23">
        <f t="shared" si="39"/>
        <v>-22.261788461403199</v>
      </c>
      <c r="U71" s="23">
        <f t="shared" si="40"/>
        <v>32.721313172880265</v>
      </c>
      <c r="V71" s="23" t="str">
        <f>IMPRODUCT(-Sheet1!$J$6,IMDIV(IMSUM(COMPLEX(1,0),IMDIV(Sheet1!$H$6,C71)),IMSUM(COMPLEX(1,0),IMDIV(C71,Sheet1!$I$6))))</f>
        <v>-0,419035112120768+0,35527388846761i</v>
      </c>
      <c r="W71" s="23">
        <f t="shared" si="19"/>
        <v>-5.2026643075224213</v>
      </c>
      <c r="X71" s="23">
        <f t="shared" si="20"/>
        <v>139.70745536289385</v>
      </c>
      <c r="Y71" s="23" t="str">
        <f t="shared" si="21"/>
        <v>0,0646937152921751+0,0415704458827505i</v>
      </c>
      <c r="Z71" s="23">
        <f t="shared" si="22"/>
        <v>-22.281643022788877</v>
      </c>
      <c r="AA71" s="23">
        <f t="shared" si="23"/>
        <v>32.723712228204413</v>
      </c>
      <c r="AB71" s="23"/>
    </row>
    <row r="72" spans="1:28" x14ac:dyDescent="0.25">
      <c r="A72" s="23">
        <f t="shared" si="41"/>
        <v>48</v>
      </c>
      <c r="B72" s="23">
        <f>EXP(((A72)*((LN('FB analysis'!$B$26*1000)-LN('FB analysis'!$B$25))/50))+LN('FB analysis'!$B$25))</f>
        <v>7585.775750291853</v>
      </c>
      <c r="C72" s="36" t="str">
        <f t="shared" si="24"/>
        <v>47662,834737793i</v>
      </c>
      <c r="D72" s="23" t="str">
        <f t="shared" si="25"/>
        <v>1+0,190651338951172i</v>
      </c>
      <c r="E72" s="23" t="str">
        <f t="shared" si="26"/>
        <v>1+22,7616211737311i</v>
      </c>
      <c r="F72" s="23" t="str">
        <f t="shared" si="27"/>
        <v>0,407358360892336i</v>
      </c>
      <c r="G72" s="23" t="str">
        <f t="shared" si="28"/>
        <v>-0,0481572458454687-0,267424913107672i</v>
      </c>
      <c r="H72" s="23">
        <f t="shared" si="29"/>
        <v>-11.317365180539966</v>
      </c>
      <c r="I72" s="23">
        <f t="shared" si="30"/>
        <v>-100.20828221412559</v>
      </c>
      <c r="J72" s="23" t="str">
        <f>IMPRODUCT(Sheet1!$B$12,IMDIV(IMSUM($L$21,IMDIV(C72,Sheet1!$C$12)),IMSUM($L$21,IMDIV(C72,Sheet1!$D$12))))</f>
        <v>0,44096297239626-0,0602965717056552i</v>
      </c>
      <c r="K72" s="23">
        <f t="shared" si="31"/>
        <v>-7.0315055972864213</v>
      </c>
      <c r="L72" s="23">
        <f t="shared" si="32"/>
        <v>-7.7862453951051771</v>
      </c>
      <c r="M72" s="23" t="str">
        <f t="shared" si="33"/>
        <v>-0,0373603677195107-0,115020767749502i</v>
      </c>
      <c r="N72" s="23">
        <f t="shared" si="34"/>
        <v>-18.348870777826416</v>
      </c>
      <c r="O72" s="23">
        <f t="shared" si="35"/>
        <v>-107.99452760923083</v>
      </c>
      <c r="P72" s="23" t="str">
        <f>IMPRODUCT(-Sheet1!$D$6,IMDIV(IMSUM(COMPLEX(1,0),IMDIV(Sheet1!$B$6,C72)),IMSUM(COMPLEX(1,0),IMDIV(C72,Sheet1!$C$6))))</f>
        <v>-0,37256637988471+0,360743807430456i</v>
      </c>
      <c r="Q72" s="23">
        <f t="shared" si="36"/>
        <v>-5.7034168950006912</v>
      </c>
      <c r="R72" s="23">
        <f t="shared" si="37"/>
        <v>135.9236539131509</v>
      </c>
      <c r="S72" s="23" t="str">
        <f t="shared" si="38"/>
        <v>0,0554122466439494+0,0293753497538539i</v>
      </c>
      <c r="T72" s="23">
        <f t="shared" si="39"/>
        <v>-24.052287672827077</v>
      </c>
      <c r="U72" s="23">
        <f t="shared" si="40"/>
        <v>27.9291263039201</v>
      </c>
      <c r="V72" s="23" t="str">
        <f>IMPRODUCT(-Sheet1!$J$6,IMDIV(IMSUM(COMPLEX(1,0),IMDIV(Sheet1!$H$6,C72)),IMSUM(COMPLEX(1,0),IMDIV(C72,Sheet1!$I$6))))</f>
        <v>-0,371725754508098+0,35990686235378i</v>
      </c>
      <c r="W72" s="23">
        <f t="shared" si="19"/>
        <v>-5.7233056168744225</v>
      </c>
      <c r="X72" s="23">
        <f t="shared" si="20"/>
        <v>135.92548326642674</v>
      </c>
      <c r="Y72" s="23" t="str">
        <f t="shared" si="21"/>
        <v>0,0552845745054814+0,029309928953472i</v>
      </c>
      <c r="Z72" s="23">
        <f t="shared" si="22"/>
        <v>-24.072176394700801</v>
      </c>
      <c r="AA72" s="23">
        <f t="shared" si="23"/>
        <v>27.93095565719598</v>
      </c>
      <c r="AB72" s="23"/>
    </row>
    <row r="73" spans="1:28" x14ac:dyDescent="0.25">
      <c r="A73" s="23">
        <f t="shared" si="41"/>
        <v>49</v>
      </c>
      <c r="B73" s="23">
        <f>EXP(((A73)*((LN('FB analysis'!$B$26*1000)-LN('FB analysis'!$B$25))/50))+LN('FB analysis'!$B$25))</f>
        <v>8709.6358995608189</v>
      </c>
      <c r="C73" s="36" t="str">
        <f t="shared" si="24"/>
        <v>54724,2563150044i</v>
      </c>
      <c r="D73" s="23" t="str">
        <f t="shared" si="25"/>
        <v>1+0,218897025260018i</v>
      </c>
      <c r="E73" s="23" t="str">
        <f t="shared" si="26"/>
        <v>1+26,1338377817595i</v>
      </c>
      <c r="F73" s="23" t="str">
        <f t="shared" si="27"/>
        <v>0,467709977305569i</v>
      </c>
      <c r="G73" s="23" t="str">
        <f t="shared" si="28"/>
        <v>-0,051221684024707-0,230709215563944i</v>
      </c>
      <c r="H73" s="23">
        <f t="shared" si="29"/>
        <v>-12.529736883263338</v>
      </c>
      <c r="I73" s="23">
        <f t="shared" si="30"/>
        <v>-102.51767700760598</v>
      </c>
      <c r="J73" s="23" t="str">
        <f>IMPRODUCT(Sheet1!$B$12,IMDIV(IMSUM($L$21,IMDIV(C73,Sheet1!$C$12)),IMSUM($L$21,IMDIV(C73,Sheet1!$D$12))))</f>
        <v>0,43940361619839-0,0526628932349675i</v>
      </c>
      <c r="K73" s="23">
        <f t="shared" si="31"/>
        <v>-7.0807882288272941</v>
      </c>
      <c r="L73" s="23">
        <f t="shared" si="32"/>
        <v>-6.8343484388261446</v>
      </c>
      <c r="M73" s="23" t="str">
        <f t="shared" si="33"/>
        <v>-0,0346568079757946-0,0986769815319825i</v>
      </c>
      <c r="N73" s="23">
        <f t="shared" si="34"/>
        <v>-19.610525112090635</v>
      </c>
      <c r="O73" s="23">
        <f t="shared" si="35"/>
        <v>-109.35202544643208</v>
      </c>
      <c r="P73" s="23" t="str">
        <f>IMPRODUCT(-Sheet1!$D$6,IMDIV(IMSUM(COMPLEX(1,0),IMDIV(Sheet1!$B$6,C73)),IMSUM(COMPLEX(1,0),IMDIV(C73,Sheet1!$C$6))))</f>
        <v>-0,324302923256866+0,359047121500968i</v>
      </c>
      <c r="Q73" s="23">
        <f t="shared" si="36"/>
        <v>-6.3062229321231165</v>
      </c>
      <c r="R73" s="23">
        <f t="shared" si="37"/>
        <v>132.0893640716119</v>
      </c>
      <c r="S73" s="23" t="str">
        <f t="shared" si="38"/>
        <v>0,0466689903147646+0,0195578064248648i</v>
      </c>
      <c r="T73" s="23">
        <f t="shared" si="39"/>
        <v>-25.916748044213747</v>
      </c>
      <c r="U73" s="23">
        <f t="shared" si="40"/>
        <v>22.737338625179724</v>
      </c>
      <c r="V73" s="23" t="str">
        <f>IMPRODUCT(-Sheet1!$J$6,IMDIV(IMSUM(COMPLEX(1,0),IMDIV(Sheet1!$H$6,C73)),IMSUM(COMPLEX(1,0),IMDIV(C73,Sheet1!$I$6))))</f>
        <v>-0,323568388805893+0,358216765902655i</v>
      </c>
      <c r="W73" s="23">
        <f t="shared" si="19"/>
        <v>-6.3261471642535225</v>
      </c>
      <c r="X73" s="23">
        <f t="shared" si="20"/>
        <v>132.09072667021056</v>
      </c>
      <c r="Y73" s="23" t="str">
        <f t="shared" si="21"/>
        <v>0,0465615967113059+0,0195141022569339i</v>
      </c>
      <c r="Z73" s="23">
        <f t="shared" si="22"/>
        <v>-25.936672276344158</v>
      </c>
      <c r="AA73" s="23">
        <f t="shared" si="23"/>
        <v>22.738701223778374</v>
      </c>
      <c r="AB73" s="23"/>
    </row>
    <row r="74" spans="1:28" x14ac:dyDescent="0.25">
      <c r="A74" s="23">
        <f t="shared" si="41"/>
        <v>50</v>
      </c>
      <c r="B74" s="23">
        <f>EXP(((A74)*((LN('FB analysis'!$B$26*1000)-LN('FB analysis'!$B$25))/50))+LN('FB analysis'!$B$25))</f>
        <v>10000.000000000009</v>
      </c>
      <c r="C74" s="36" t="str">
        <f t="shared" si="24"/>
        <v>62831,8530717959i</v>
      </c>
      <c r="D74" s="23" t="str">
        <f t="shared" si="25"/>
        <v>1+0,251327412287184i</v>
      </c>
      <c r="E74" s="23" t="str">
        <f t="shared" si="26"/>
        <v>1+30,0056604927392i</v>
      </c>
      <c r="F74" s="23" t="str">
        <f t="shared" si="27"/>
        <v>0,537002904253613i</v>
      </c>
      <c r="G74" s="23" t="str">
        <f t="shared" si="28"/>
        <v>-0,0535564597018214-0,198203421585735i</v>
      </c>
      <c r="H74" s="23">
        <f t="shared" si="29"/>
        <v>-13.751726375567717</v>
      </c>
      <c r="I74" s="23">
        <f t="shared" si="30"/>
        <v>-105.12076570452899</v>
      </c>
      <c r="J74" s="23" t="str">
        <f>IMPRODUCT(Sheet1!$B$12,IMDIV(IMSUM($L$21,IMDIV(C74,Sheet1!$C$12)),IMSUM($L$21,IMDIV(C74,Sheet1!$D$12))))</f>
        <v>0,438214897332061-0,0459649132503814i</v>
      </c>
      <c r="K74" s="23">
        <f t="shared" si="31"/>
        <v>-7.1187363431596502</v>
      </c>
      <c r="L74" s="23">
        <f t="shared" si="32"/>
        <v>-5.9879305440111965</v>
      </c>
      <c r="M74" s="23" t="str">
        <f t="shared" si="33"/>
        <v>-0,0325796415688194-0,0843939740168643i</v>
      </c>
      <c r="N74" s="23">
        <f t="shared" si="34"/>
        <v>-20.870462718727367</v>
      </c>
      <c r="O74" s="23">
        <f t="shared" si="35"/>
        <v>-111.10869624854017</v>
      </c>
      <c r="P74" s="23" t="str">
        <f>IMPRODUCT(-Sheet1!$D$6,IMDIV(IMSUM(COMPLEX(1,0),IMDIV(Sheet1!$B$6,C74)),IMSUM(COMPLEX(1,0),IMDIV(C74,Sheet1!$C$6))))</f>
        <v>-0,276999390672336+0,351004807374909i</v>
      </c>
      <c r="Q74" s="23">
        <f t="shared" si="36"/>
        <v>-6.9911543648442134</v>
      </c>
      <c r="R74" s="23">
        <f t="shared" si="37"/>
        <v>128.27913347943215</v>
      </c>
      <c r="S74" s="23" t="str">
        <f t="shared" si="38"/>
        <v>0,0386472314562786+0,0119414685658813i</v>
      </c>
      <c r="T74" s="23">
        <f t="shared" si="39"/>
        <v>-27.861617083571588</v>
      </c>
      <c r="U74" s="23">
        <f t="shared" si="40"/>
        <v>17.170437230891928</v>
      </c>
      <c r="V74" s="23" t="str">
        <f>IMPRODUCT(-Sheet1!$J$6,IMDIV(IMSUM(COMPLEX(1,0),IMDIV(Sheet1!$H$6,C74)),IMSUM(COMPLEX(1,0),IMDIV(C74,Sheet1!$I$6))))</f>
        <v>-0,276369647674964+0,350194376746785i</v>
      </c>
      <c r="W74" s="23">
        <f t="shared" si="19"/>
        <v>-7.0111138783743732</v>
      </c>
      <c r="X74" s="23">
        <f t="shared" si="20"/>
        <v>128.28012327982779</v>
      </c>
      <c r="Y74" s="23" t="str">
        <f t="shared" si="21"/>
        <v>0,0385583191937714+0,0119147255911045i</v>
      </c>
      <c r="Z74" s="23">
        <f t="shared" si="22"/>
        <v>-27.881576597101734</v>
      </c>
      <c r="AA74" s="23">
        <f t="shared" si="23"/>
        <v>17.171427031287617</v>
      </c>
      <c r="AB74" s="23"/>
    </row>
    <row r="75" spans="1:28" x14ac:dyDescent="0.25">
      <c r="A75" s="23"/>
      <c r="B75" s="23">
        <f>'FB analysis'!B28</f>
        <v>1000</v>
      </c>
      <c r="C75" s="36" t="str">
        <f t="shared" ref="C75" si="42">COMPLEX(0,(2*PI()*B75))</f>
        <v>6283,18530717959i</v>
      </c>
      <c r="D75" s="23" t="str">
        <f t="shared" ref="D75" si="43">IMSUM(L$21,IMDIV(C75,H$21))</f>
        <v>1+0,0251327412287184i</v>
      </c>
      <c r="E75" s="23" t="str">
        <f t="shared" ref="E75" si="44">IMSUM(L$21,IMDIV(C75,I$21))</f>
        <v>1+3,00056604927392i</v>
      </c>
      <c r="F75" s="23" t="str">
        <f t="shared" ref="F75" si="45">IMDIV(C75,IMPRODUCT(J$21,K$21))</f>
        <v>0,0537002904253613i</v>
      </c>
      <c r="G75" s="23" t="str">
        <f t="shared" ref="G75" si="46">IMPRODUCT(IMPRODUCT(F$21,IMDIV(D75,E75)),IMDIV(L$21,IMSUM(L$21,F75,IMPOWER(IMDIV(C75,J$21),2))))</f>
        <v>0,567132760826489-1,87912855583242i</v>
      </c>
      <c r="H75" s="23">
        <f t="shared" ref="H75" si="47">20*LOG((IMABS(G75)))</f>
        <v>5.8577237316784032</v>
      </c>
      <c r="I75" s="23">
        <f t="shared" ref="I75" si="48">IMARGUMENT(G75)*180/PI()</f>
        <v>-73.205857108942084</v>
      </c>
      <c r="J75" s="23" t="str">
        <f>IMPRODUCT(Sheet1!$B$12,IMDIV(IMSUM($L$21,IMDIV(C75,Sheet1!$C$12)),IMSUM($L$21,IMDIV(C75,Sheet1!$D$12))))</f>
        <v>0,661322390421904-0,276746494955053i</v>
      </c>
      <c r="K75" s="23">
        <f t="shared" ref="K75" si="49">20*LOG((IMABS(J75)))</f>
        <v>-2.8909102202270254</v>
      </c>
      <c r="L75" s="23">
        <f t="shared" ref="L75" si="50">IMARGUMENT(J75)*180/PI()</f>
        <v>-22.708062271599818</v>
      </c>
      <c r="M75" s="23" t="str">
        <f t="shared" ref="M75" si="51">IMPRODUCT(G75,J75)</f>
        <v>-0,144984648320225-1,39966179218607i</v>
      </c>
      <c r="N75" s="30">
        <f t="shared" ref="N75" si="52">20*LOG((IMABS(M75)))</f>
        <v>2.9668135114513792</v>
      </c>
      <c r="O75" s="23">
        <f t="shared" ref="O75" si="53">IMARGUMENT(M75)*180/PI()</f>
        <v>-95.913919380541884</v>
      </c>
      <c r="P75" s="23" t="str">
        <f>IMPRODUCT(-Sheet1!$D$6,IMDIV(IMSUM(COMPLEX(1,0),IMDIV(Sheet1!$B$6,C75)),IMSUM(COMPLEX(1,0),IMDIV(C75,Sheet1!$C$6))))</f>
        <v>-0,689287242781778+0,172958979226857i</v>
      </c>
      <c r="Q75" s="23">
        <f t="shared" ref="Q75" si="54">20*LOG((IMABS(P75)))</f>
        <v>-2.9668135114513876</v>
      </c>
      <c r="R75" s="23">
        <f t="shared" ref="R75" si="55">IMARGUMENT(P75)*180/PI()</f>
        <v>165.91391938054181</v>
      </c>
      <c r="S75" s="23" t="str">
        <f t="shared" ref="S75" si="56">IMPRODUCT(J75,G75,P75)</f>
        <v>0,34202014332567+0,939692620785907i</v>
      </c>
      <c r="T75" s="23">
        <f t="shared" ref="T75" si="57">20*LOG((IMABS(S75)))</f>
        <v>-8.6789471989795872E-15</v>
      </c>
      <c r="U75" s="23">
        <f t="shared" ref="U75" si="58">IMARGUMENT(S75)*180/PI()</f>
        <v>69.999999999999901</v>
      </c>
      <c r="V75" s="23"/>
      <c r="W75" s="23"/>
      <c r="X75" s="23"/>
      <c r="Y75" s="23"/>
      <c r="Z75" s="23"/>
      <c r="AA75" s="23"/>
      <c r="AB75" s="23"/>
    </row>
    <row r="76" spans="1:28" x14ac:dyDescent="0.25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</row>
    <row r="77" spans="1:28" x14ac:dyDescent="0.25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</row>
    <row r="78" spans="1:28" x14ac:dyDescent="0.25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</row>
    <row r="79" spans="1:28" x14ac:dyDescent="0.25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</row>
    <row r="80" spans="1:28" x14ac:dyDescent="0.25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</row>
    <row r="81" spans="1:28" x14ac:dyDescent="0.25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</row>
    <row r="82" spans="1:28" x14ac:dyDescent="0.25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</row>
  </sheetData>
  <sheetProtection algorithmName="SHA-512" hashValue="goHywRpRCdRm1+Q0I0y8TYGRJZoB/sUsHXdV+drKeeuPfztJM2gH8hEEx5vvhb6cl3WrcnFd5em5Vm/Qh3vL9w==" saltValue="0AgObL2QTOcsMrFeK/wwZQ==" spinCount="100000" sheet="1" objects="1" scenarios="1" selectLockedCells="1" selectUnlockedCells="1"/>
  <mergeCells count="2">
    <mergeCell ref="P22:U22"/>
    <mergeCell ref="V22:AA2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FB analysis</vt:lpstr>
      <vt:lpstr>Sheet1</vt:lpstr>
      <vt:lpstr>fmax</vt:lpstr>
      <vt:lpstr>fmin</vt:lpstr>
    </vt:vector>
  </TitlesOfParts>
  <Company>ON Semiconductor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fftcpy</dc:creator>
  <cp:lastModifiedBy>Petr CDC Valek</cp:lastModifiedBy>
  <dcterms:created xsi:type="dcterms:W3CDTF">2013-07-29T07:54:01Z</dcterms:created>
  <dcterms:modified xsi:type="dcterms:W3CDTF">2022-05-10T11:23:21Z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2af334af-4663-47d0-81fa-389fde6394fb</vt:lpwstr>
  </property>
</Properties>
</file>